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36" windowWidth="15480" windowHeight="8136" activeTab="0"/>
  </bookViews>
  <sheets>
    <sheet name="uptodate sale44" sheetId="1" r:id="rId1"/>
    <sheet name="auction avg44" sheetId="2" r:id="rId2"/>
    <sheet name="bp44" sheetId="3" r:id="rId3"/>
    <sheet name="bp43" sheetId="4" r:id="rId4"/>
    <sheet name="bp42" sheetId="5" r:id="rId5"/>
    <sheet name="bp41" sheetId="6" r:id="rId6"/>
    <sheet name="bp40" sheetId="7" r:id="rId7"/>
    <sheet name="bpsree20" sheetId="8" r:id="rId8"/>
    <sheet name="uptodate sale39" sheetId="9" r:id="rId9"/>
    <sheet name="auction avg39" sheetId="10" r:id="rId10"/>
    <sheet name="bp39" sheetId="11" r:id="rId11"/>
    <sheet name="bp38" sheetId="12" r:id="rId12"/>
    <sheet name="bp37" sheetId="13" r:id="rId13"/>
    <sheet name="pblbp26-35" sheetId="14" r:id="rId14"/>
    <sheet name="bp36" sheetId="15" r:id="rId15"/>
    <sheet name="bp35" sheetId="16" r:id="rId16"/>
    <sheet name="bp34" sheetId="17" r:id="rId17"/>
    <sheet name="uptodate sale33" sheetId="18" r:id="rId18"/>
    <sheet name="bp33" sheetId="19" r:id="rId19"/>
    <sheet name="bp32" sheetId="20" r:id="rId20"/>
    <sheet name="uptodate sale31(Sreemongal)" sheetId="21" r:id="rId21"/>
    <sheet name="auction avg16(Sreemongal)" sheetId="22" r:id="rId22"/>
    <sheet name="bp16(Sreem)" sheetId="23" r:id="rId23"/>
    <sheet name="uptodate sale31" sheetId="24" r:id="rId24"/>
    <sheet name="auction avg31" sheetId="25" r:id="rId25"/>
    <sheet name="bp31" sheetId="26" r:id="rId26"/>
    <sheet name="bp30" sheetId="27" r:id="rId27"/>
    <sheet name="bp29" sheetId="28" r:id="rId28"/>
    <sheet name="bp28" sheetId="29" r:id="rId29"/>
    <sheet name="bp27" sheetId="30" r:id="rId30"/>
    <sheet name="bp26" sheetId="31" r:id="rId31"/>
    <sheet name="pblbp1-25" sheetId="32" r:id="rId32"/>
    <sheet name="bp25" sheetId="33" r:id="rId33"/>
    <sheet name="bp24" sheetId="34" r:id="rId34"/>
    <sheet name="auction avg 12(Sreemongal)" sheetId="35" r:id="rId35"/>
    <sheet name="bp12(sreemongal)" sheetId="36" r:id="rId36"/>
    <sheet name="uptodate sale23" sheetId="37" r:id="rId37"/>
    <sheet name="auction avg 23" sheetId="38" r:id="rId38"/>
    <sheet name="bp23" sheetId="39" r:id="rId39"/>
    <sheet name="bp22" sheetId="40" r:id="rId40"/>
    <sheet name="bp21" sheetId="41" r:id="rId41"/>
    <sheet name="bp20" sheetId="42" r:id="rId42"/>
    <sheet name="bp16to20" sheetId="43" r:id="rId43"/>
    <sheet name="bp19" sheetId="44" r:id="rId44"/>
    <sheet name="bp18" sheetId="45" r:id="rId45"/>
    <sheet name="bp17" sheetId="46" r:id="rId46"/>
    <sheet name="bp16" sheetId="47" r:id="rId47"/>
    <sheet name="bp11to15" sheetId="48" r:id="rId48"/>
    <sheet name="bp15" sheetId="49" r:id="rId49"/>
    <sheet name="bp08srimongal" sheetId="50" r:id="rId50"/>
    <sheet name="bp14" sheetId="51" r:id="rId51"/>
    <sheet name="bp12" sheetId="52" r:id="rId52"/>
    <sheet name="bp11" sheetId="53" r:id="rId53"/>
    <sheet name="bp10" sheetId="54" r:id="rId54"/>
    <sheet name="bp06to10" sheetId="55" r:id="rId55"/>
    <sheet name="bp09" sheetId="56" r:id="rId56"/>
    <sheet name="bp08" sheetId="57" r:id="rId57"/>
    <sheet name="bp07" sheetId="58" r:id="rId58"/>
    <sheet name="bp04(Sreemongal" sheetId="59" r:id="rId59"/>
    <sheet name="bp06" sheetId="60" r:id="rId60"/>
    <sheet name="bp01to05" sheetId="61" r:id="rId61"/>
    <sheet name="bp05" sheetId="62" r:id="rId62"/>
    <sheet name="bp04" sheetId="63" r:id="rId63"/>
    <sheet name="bp03" sheetId="64" r:id="rId64"/>
    <sheet name="bp02" sheetId="65" r:id="rId65"/>
    <sheet name="bp01" sheetId="66" r:id="rId66"/>
  </sheets>
  <externalReferences>
    <externalReference r:id="rId69"/>
    <externalReference r:id="rId70"/>
  </externalReferences>
  <definedNames/>
  <calcPr fullCalcOnLoad="1"/>
</workbook>
</file>

<file path=xl/sharedStrings.xml><?xml version="1.0" encoding="utf-8"?>
<sst xmlns="http://schemas.openxmlformats.org/spreadsheetml/2006/main" count="6775" uniqueCount="2015">
  <si>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</si>
  <si>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</si>
  <si>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</si>
  <si>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</si>
  <si>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</si>
  <si>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</si>
  <si>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</si>
  <si>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</si>
  <si>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</si>
  <si>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</si>
  <si>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</si>
  <si>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</si>
  <si>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</si>
  <si>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</si>
  <si>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</si>
  <si>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</si>
  <si>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</si>
  <si>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</si>
  <si>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</si>
  <si>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</si>
  <si>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</si>
  <si>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</si>
  <si>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</si>
  <si>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</si>
  <si>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</si>
  <si>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</si>
  <si>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</si>
  <si>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</si>
  <si>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</si>
  <si>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</si>
  <si>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</si>
  <si>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</si>
  <si>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</si>
  <si>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</si>
  <si>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</si>
  <si>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</si>
  <si>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</si>
  <si>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</si>
  <si>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</si>
  <si>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</si>
  <si>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</si>
  <si>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</si>
  <si>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</si>
  <si>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</si>
  <si>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</si>
  <si>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</si>
  <si>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</si>
  <si>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</si>
  <si>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</si>
  <si>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</si>
  <si>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</si>
  <si>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</si>
  <si>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</si>
  <si>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</si>
  <si>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</si>
  <si>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</si>
  <si>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</si>
  <si>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</si>
  <si>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</si>
  <si>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</si>
  <si>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</si>
  <si>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</si>
  <si>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</si>
  <si>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</si>
  <si>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</si>
  <si>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</si>
  <si>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</si>
  <si>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</si>
  <si>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</si>
  <si>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</si>
  <si>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</si>
  <si>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</si>
  <si>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</si>
  <si>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</si>
  <si>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</si>
  <si>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</si>
  <si>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</si>
  <si>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</si>
  <si>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</si>
  <si>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</si>
  <si>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</si>
  <si>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</si>
  <si>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</si>
  <si>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</si>
  <si>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</si>
  <si>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</si>
  <si>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</si>
  <si>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</si>
  <si>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</si>
  <si>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</si>
  <si>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</si>
  <si>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</si>
  <si>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</si>
  <si>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</si>
  <si>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</si>
  <si>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</si>
  <si>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</si>
  <si>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</si>
  <si>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</si>
  <si>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</si>
  <si>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</si>
  <si>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</si>
  <si>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</si>
  <si>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</si>
  <si>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</si>
  <si>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</si>
  <si>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</si>
  <si>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</si>
  <si>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</si>
  <si>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</si>
  <si>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</si>
  <si>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</si>
  <si>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</si>
  <si>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</si>
  <si>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</si>
  <si>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</si>
  <si>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</si>
  <si>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</si>
  <si>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</si>
  <si>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</si>
  <si>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</si>
  <si>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</si>
  <si>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</si>
  <si>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</si>
  <si>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</si>
  <si>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</si>
  <si>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</si>
  <si>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</si>
  <si>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</si>
  <si>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</si>
  <si>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</si>
  <si>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</si>
  <si>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</si>
  <si>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</si>
  <si>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</si>
  <si>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</si>
  <si>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</si>
  <si>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</si>
  <si>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</si>
  <si>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</si>
  <si>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</si>
  <si>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</si>
  <si>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</si>
  <si>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</si>
  <si>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</si>
  <si>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</si>
  <si>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</si>
  <si>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</si>
  <si>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</si>
  <si>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</si>
  <si>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</si>
  <si>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</si>
  <si>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</si>
  <si>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</si>
  <si>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</si>
  <si>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</si>
  <si>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</si>
  <si>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</si>
  <si>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</si>
  <si>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</si>
  <si>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</si>
  <si>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</si>
  <si>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</si>
  <si>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</si>
  <si>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</si>
  <si>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</si>
  <si>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</si>
  <si>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</si>
  <si>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</si>
  <si>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</si>
  <si>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</si>
  <si>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</si>
  <si>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</si>
  <si>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</si>
  <si>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</si>
  <si>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</si>
  <si>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</si>
  <si>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</si>
  <si>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</si>
  <si>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</si>
  <si>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</si>
  <si>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</si>
  <si>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</si>
  <si>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</si>
  <si>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</si>
  <si>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</si>
  <si>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</si>
  <si>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</si>
  <si>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</si>
  <si>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</si>
  <si>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</si>
  <si>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</si>
  <si>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</si>
  <si>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</si>
  <si>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</si>
  <si>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</si>
  <si>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</si>
  <si>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</si>
  <si>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</si>
  <si>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</si>
  <si>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</si>
  <si>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</si>
  <si>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</si>
  <si>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</si>
  <si>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</si>
  <si>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</si>
  <si>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</si>
  <si>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</si>
  <si>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</si>
  <si>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</si>
  <si>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</si>
  <si>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</si>
  <si>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</si>
  <si>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</si>
  <si>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</si>
  <si>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</si>
  <si>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</si>
  <si>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</si>
  <si>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</si>
  <si>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</si>
  <si>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</si>
  <si>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</si>
  <si>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</si>
  <si>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</si>
  <si>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</si>
  <si>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</si>
  <si>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</si>
  <si>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</si>
  <si>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</si>
  <si>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</si>
  <si>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</si>
  <si>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</si>
  <si>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</si>
  <si>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</si>
  <si>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</si>
  <si>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</si>
  <si>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</si>
  <si>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</si>
  <si>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</si>
  <si>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</si>
  <si>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</si>
  <si>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</si>
  <si>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</si>
  <si>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</si>
  <si>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</si>
  <si>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</si>
  <si>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</si>
  <si>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</si>
  <si>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</si>
  <si>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</si>
  <si>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</si>
  <si>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</si>
  <si>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</si>
  <si>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</si>
  <si>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</si>
  <si>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</si>
  <si>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</si>
  <si>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</si>
  <si>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</si>
  <si>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</si>
  <si>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</si>
  <si>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</si>
  <si>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</si>
  <si>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</si>
  <si>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</si>
  <si>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</si>
  <si>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</si>
  <si>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</si>
  <si>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</si>
  <si>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</si>
  <si>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</si>
  <si>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</si>
  <si>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</si>
  <si>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</si>
  <si>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</si>
  <si>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</si>
  <si>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</si>
  <si>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</si>
  <si>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</si>
  <si>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</si>
  <si>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</si>
  <si>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</si>
  <si>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</si>
  <si>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</si>
  <si>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</si>
  <si>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</si>
  <si>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</si>
  <si>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</si>
  <si>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</si>
  <si>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</si>
  <si>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</si>
  <si>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</si>
  <si>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</si>
  <si>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</si>
  <si>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</si>
  <si>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</si>
  <si>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</si>
  <si>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</si>
  <si>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</si>
  <si>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</si>
  <si>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</si>
  <si>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</si>
  <si>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</si>
  <si>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</si>
  <si>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</si>
  <si>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</si>
  <si>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</si>
  <si>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</si>
  <si>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</si>
  <si>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</si>
  <si>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</si>
  <si>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</si>
  <si>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</si>
  <si>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</si>
  <si>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</si>
  <si>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</si>
  <si>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</si>
  <si>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</si>
  <si>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</si>
  <si>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</si>
  <si>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</si>
  <si>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</si>
  <si>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</si>
  <si>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</si>
  <si>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</si>
  <si>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</si>
  <si>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</si>
  <si>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</si>
  <si>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</si>
  <si>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</si>
  <si>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</si>
  <si>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</si>
  <si>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</si>
  <si>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</si>
  <si>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</si>
  <si>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</si>
  <si>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</si>
  <si>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</si>
  <si>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</si>
  <si>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</si>
  <si>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</si>
  <si>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</si>
  <si>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</si>
  <si>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</si>
  <si>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</si>
  <si>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</si>
  <si>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</si>
  <si>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</si>
  <si>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</si>
  <si>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</si>
  <si>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</si>
  <si>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</si>
  <si>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</si>
  <si>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</si>
  <si>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</si>
  <si>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</si>
  <si>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</si>
  <si>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</si>
  <si>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</si>
  <si>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</si>
  <si>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</si>
  <si>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</si>
  <si>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</si>
  <si>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</si>
  <si>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</si>
  <si>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</si>
  <si>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</si>
  <si>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</si>
  <si>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</si>
  <si>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</si>
  <si>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</si>
  <si>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</si>
  <si>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</si>
  <si>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</si>
  <si>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</si>
  <si>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</si>
  <si>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</si>
  <si>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</si>
  <si>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</si>
  <si>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</si>
  <si>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</si>
  <si>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</si>
  <si>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</si>
  <si>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</si>
  <si>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</si>
  <si>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</si>
  <si>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</si>
  <si>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</si>
  <si>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</si>
  <si>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</si>
  <si>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</si>
  <si>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</si>
  <si>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</si>
  <si>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</si>
  <si>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</si>
  <si>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</si>
  <si>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</si>
  <si>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</si>
  <si>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</si>
  <si>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</si>
  <si>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</si>
  <si>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</si>
  <si>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</si>
  <si>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</si>
  <si>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</si>
  <si>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</si>
  <si>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</si>
  <si>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</si>
  <si>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</si>
  <si>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</si>
  <si>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</si>
  <si>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</si>
  <si>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</si>
  <si>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</si>
  <si>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</si>
  <si>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</si>
  <si>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</si>
  <si>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</si>
  <si>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</si>
  <si>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</si>
  <si>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</si>
  <si>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</si>
  <si>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</si>
  <si>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</si>
  <si>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</si>
  <si>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</si>
  <si>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</si>
  <si>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</si>
  <si>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</si>
  <si>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</si>
  <si>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</si>
  <si>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</si>
  <si>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</si>
  <si>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</si>
  <si>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</si>
  <si>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</si>
  <si>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</si>
  <si>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</si>
  <si>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</si>
  <si>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</si>
  <si>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</si>
  <si>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</si>
  <si>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</si>
  <si>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</si>
  <si>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</si>
  <si>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</si>
  <si>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</si>
  <si>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</si>
  <si>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</si>
  <si>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</si>
  <si>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</si>
  <si>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</si>
  <si>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</si>
  <si>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</si>
  <si>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</si>
  <si>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</si>
  <si>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</si>
  <si>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</si>
  <si>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</si>
  <si>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</si>
  <si>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</si>
  <si>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</si>
  <si>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</si>
  <si>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</si>
  <si>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</si>
  <si>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</si>
  <si>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</si>
  <si>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</si>
  <si>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</si>
  <si>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</si>
  <si>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</si>
  <si>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</si>
  <si>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</si>
  <si>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</si>
  <si>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</si>
  <si>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</si>
  <si>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</si>
  <si>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</si>
  <si>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</si>
  <si>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</si>
  <si>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</si>
  <si>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</si>
  <si>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</si>
  <si>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</si>
  <si>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</si>
  <si>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</si>
  <si>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</si>
  <si>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</si>
  <si>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</si>
  <si>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</si>
  <si>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</si>
  <si>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</si>
  <si>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</si>
  <si>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</si>
  <si>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</si>
  <si>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</si>
  <si>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</si>
  <si>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</si>
  <si>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</si>
  <si>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</si>
  <si>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</si>
  <si>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</si>
  <si>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</si>
  <si>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</si>
  <si>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</si>
  <si>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</si>
  <si>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</si>
  <si>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</si>
  <si>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</si>
  <si>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</si>
  <si>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</si>
  <si>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</si>
  <si>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</si>
  <si>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</si>
  <si>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</si>
  <si>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</si>
  <si>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</si>
  <si>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</si>
  <si>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</si>
  <si>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</si>
  <si>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</si>
  <si>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</si>
  <si>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</si>
  <si>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</si>
  <si>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</si>
  <si>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</si>
  <si>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</si>
  <si>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</si>
  <si>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</si>
  <si>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</si>
  <si>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</si>
  <si>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</si>
  <si>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</si>
  <si>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</si>
  <si>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</si>
  <si>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</si>
  <si>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</si>
  <si>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</si>
  <si>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</si>
  <si>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</si>
  <si>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</si>
  <si>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</si>
  <si>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</si>
  <si>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</si>
  <si>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</si>
  <si>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</si>
  <si>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</si>
  <si>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</si>
  <si>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</si>
  <si>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</si>
  <si>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</si>
  <si>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</si>
  <si>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</si>
  <si>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</si>
  <si>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</si>
  <si>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</si>
  <si>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</si>
  <si>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</si>
  <si>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</si>
  <si>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</si>
  <si>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</si>
  <si>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</si>
  <si>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</si>
  <si>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</si>
  <si>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</si>
  <si>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</si>
  <si>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</si>
  <si>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</si>
  <si>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</si>
  <si>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</si>
  <si>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</si>
  <si>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</si>
  <si>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</si>
  <si>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</si>
  <si>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</si>
  <si>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</si>
  <si>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</si>
  <si>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</si>
  <si>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</si>
  <si>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</si>
  <si>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</si>
  <si>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</si>
  <si>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</si>
  <si>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</si>
  <si>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</si>
  <si>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</si>
  <si>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</si>
  <si>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</si>
  <si>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</si>
  <si>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</si>
  <si>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</si>
  <si>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</si>
  <si>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</si>
  <si>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</si>
  <si>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</si>
  <si>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</si>
  <si>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</si>
  <si>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</si>
  <si>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</si>
  <si>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</si>
  <si>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</si>
  <si>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</si>
  <si>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</si>
  <si>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</si>
  <si>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</si>
  <si>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</si>
  <si>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</si>
  <si>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</si>
  <si>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</si>
  <si>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</si>
  <si>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</si>
  <si>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</si>
  <si>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</si>
  <si>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</si>
  <si>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</si>
  <si>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</si>
  <si>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</si>
  <si>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</si>
  <si>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</si>
  <si>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</si>
  <si>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</si>
  <si>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</si>
  <si>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</si>
  <si>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</si>
  <si>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</si>
  <si>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</si>
  <si>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</si>
  <si>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</si>
  <si>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</si>
  <si>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</si>
  <si>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</si>
  <si>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</si>
  <si>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</si>
  <si>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</si>
  <si>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</si>
  <si>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</si>
  <si>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</si>
  <si>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</si>
  <si>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</si>
  <si>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</si>
  <si>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</si>
  <si>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</si>
  <si>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</si>
  <si>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</si>
  <si>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</si>
  <si>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</si>
  <si>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</si>
  <si>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</si>
  <si>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</si>
  <si>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</si>
  <si>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</si>
  <si>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</si>
  <si>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</si>
  <si>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</si>
  <si>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</si>
  <si>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</si>
  <si>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</si>
  <si>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</si>
  <si>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</si>
  <si>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</si>
  <si>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</si>
  <si>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</si>
  <si>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</si>
  <si>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</si>
  <si>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</si>
  <si>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</si>
  <si>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</si>
  <si>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</si>
  <si>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</si>
  <si>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</si>
  <si>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</si>
  <si>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</si>
  <si>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</si>
  <si>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</si>
  <si>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</si>
  <si>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</si>
  <si>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</si>
  <si>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</si>
  <si>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</si>
  <si>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</si>
  <si>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</si>
  <si>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</si>
  <si>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</si>
  <si>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</si>
  <si>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</si>
  <si>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</si>
  <si>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</si>
  <si>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</si>
  <si>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</si>
  <si>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</si>
  <si>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</si>
  <si>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</si>
  <si>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</si>
  <si>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</si>
  <si>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</si>
  <si>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</si>
  <si>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</si>
  <si>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</si>
  <si>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</si>
  <si>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</si>
  <si>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</si>
  <si>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</si>
  <si>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</si>
  <si>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</si>
  <si>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</si>
  <si>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</si>
  <si>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</si>
  <si>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</si>
  <si>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</si>
  <si>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</si>
  <si>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</si>
  <si>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</si>
  <si>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</si>
  <si>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</si>
  <si>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</si>
  <si>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</si>
  <si>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</si>
  <si>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</si>
  <si>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</si>
  <si>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</si>
  <si>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</si>
  <si>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</si>
  <si>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</si>
  <si>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</si>
  <si>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</si>
  <si>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</si>
  <si>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</si>
  <si>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</si>
  <si>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</si>
  <si>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</si>
  <si>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</si>
  <si>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</si>
  <si>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</si>
  <si>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</si>
  <si>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</si>
  <si>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</si>
  <si>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</si>
  <si>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</si>
  <si>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</si>
  <si>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</si>
  <si>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</si>
  <si>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</si>
  <si>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</si>
  <si>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</si>
  <si>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</si>
  <si>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</si>
  <si>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</si>
  <si>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</si>
  <si>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</si>
  <si>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</si>
  <si>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</si>
  <si>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</si>
  <si>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</si>
  <si>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</si>
  <si>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</si>
  <si>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</si>
  <si>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</si>
  <si>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</si>
  <si>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</si>
  <si>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</si>
  <si>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</si>
  <si>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</si>
  <si>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</si>
  <si>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</si>
  <si>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</si>
  <si>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</si>
  <si>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</si>
  <si>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</si>
  <si>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</si>
  <si>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</si>
  <si>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</si>
  <si>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</si>
  <si>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</si>
  <si>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</si>
  <si>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</si>
  <si>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</si>
  <si>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</si>
  <si>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</si>
  <si>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</si>
  <si>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</si>
  <si>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</si>
  <si>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</si>
  <si>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</si>
  <si>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</si>
  <si>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</si>
  <si>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</si>
  <si>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</si>
  <si>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</si>
  <si>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</si>
  <si>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</si>
  <si>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</si>
  <si>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</si>
  <si>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</si>
  <si>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</si>
  <si>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</si>
  <si>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</si>
  <si>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</si>
  <si>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</si>
  <si>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</si>
  <si>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</si>
  <si>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</si>
  <si>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</si>
  <si>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</si>
  <si>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</si>
  <si>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</si>
  <si>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</si>
  <si>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</si>
  <si>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</si>
  <si>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</si>
  <si>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</si>
  <si>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</si>
  <si>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</si>
  <si>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</si>
  <si>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</si>
  <si>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</si>
  <si>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</si>
  <si>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</si>
  <si>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</si>
  <si>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</si>
  <si>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</si>
  <si>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</si>
  <si>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</si>
  <si>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</si>
  <si>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</si>
  <si>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</si>
  <si>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</si>
  <si>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</si>
  <si>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</si>
  <si>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</si>
  <si>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</si>
  <si>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</si>
  <si>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</si>
  <si>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</si>
  <si>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</si>
  <si>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</si>
  <si>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</si>
  <si>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</si>
  <si>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</si>
  <si>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</si>
  <si>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</si>
  <si>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</si>
  <si>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</si>
  <si>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</si>
  <si>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</si>
  <si>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</si>
  <si>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</si>
  <si>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</si>
  <si>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</si>
  <si>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</si>
  <si>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</si>
  <si>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</si>
  <si>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</si>
  <si>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</si>
  <si>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</si>
  <si>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</si>
  <si>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</si>
  <si>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</si>
  <si>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</si>
  <si>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</si>
  <si>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</si>
  <si>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</si>
  <si>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</si>
  <si>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</si>
  <si>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</si>
  <si>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</si>
  <si>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</si>
  <si>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</si>
  <si>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</si>
  <si>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</si>
  <si>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</si>
  <si>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</si>
  <si>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</si>
  <si>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</si>
  <si>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</si>
  <si>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</si>
  <si>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</si>
  <si>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</si>
  <si>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</si>
  <si>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</si>
  <si>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</si>
  <si>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</si>
  <si>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</si>
  <si>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</si>
  <si>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</si>
  <si>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</si>
  <si>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</si>
  <si>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</si>
  <si>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</si>
  <si>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</si>
  <si>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</si>
  <si>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</si>
  <si>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</si>
  <si>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</si>
  <si>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</si>
  <si>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</si>
  <si>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</si>
  <si>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</si>
  <si>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</si>
  <si>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</si>
  <si>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</si>
  <si>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</si>
  <si>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</si>
  <si>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</si>
  <si>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</si>
  <si>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</si>
  <si>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</si>
  <si>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</si>
  <si>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</si>
  <si>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</si>
  <si>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</si>
  <si>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</si>
  <si>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</si>
  <si>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</si>
  <si>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</si>
  <si>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</si>
  <si>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</si>
  <si>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</si>
  <si>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</si>
  <si>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</si>
  <si>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</si>
  <si>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</si>
  <si>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</si>
  <si>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</si>
  <si>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</si>
  <si>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</si>
  <si>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</si>
  <si>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</si>
  <si>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</si>
  <si>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</si>
  <si>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</si>
  <si>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</si>
  <si>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</si>
  <si>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</si>
  <si>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</si>
  <si>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</si>
  <si>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</si>
  <si>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</si>
  <si>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</si>
  <si>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</si>
  <si>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</si>
  <si>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</si>
  <si>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</si>
  <si>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</si>
  <si>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</si>
  <si>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</si>
  <si>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</si>
  <si>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</si>
  <si>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</si>
  <si>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</si>
  <si>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</si>
  <si>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</si>
  <si>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</si>
  <si>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</si>
  <si>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</si>
  <si>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</si>
  <si>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</si>
  <si>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</si>
  <si>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</si>
  <si>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</si>
  <si>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</si>
  <si>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</si>
  <si>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</si>
  <si>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</si>
  <si>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</si>
  <si>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</si>
  <si>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</si>
  <si>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</si>
  <si>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</si>
  <si>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</si>
  <si>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</si>
  <si>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</si>
  <si>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</si>
  <si>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</si>
  <si>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</si>
  <si>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</si>
  <si>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</si>
  <si>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</si>
  <si>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</si>
  <si>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</si>
  <si>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</si>
  <si>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</si>
  <si>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</si>
  <si>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</si>
  <si>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</si>
  <si>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</si>
  <si>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</si>
  <si>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</si>
  <si>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</si>
  <si>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</si>
  <si>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</si>
  <si>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</si>
  <si>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</si>
  <si>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</si>
  <si>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</si>
  <si>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</si>
  <si>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</si>
  <si>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</si>
  <si>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</si>
  <si>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</si>
  <si>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</si>
  <si>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</si>
  <si>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</si>
  <si>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</si>
  <si>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</si>
  <si>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</si>
  <si>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</si>
  <si>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</si>
  <si>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</si>
  <si>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</si>
  <si>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</si>
  <si>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</si>
  <si>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</si>
  <si>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</si>
  <si>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</si>
  <si>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</si>
  <si>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</si>
  <si>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</si>
  <si>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</si>
  <si>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</si>
  <si>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</si>
  <si>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</si>
  <si>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</si>
  <si>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</si>
  <si>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</si>
  <si>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</si>
  <si>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</si>
  <si>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</si>
  <si>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</si>
  <si>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</si>
  <si>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</si>
  <si>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</si>
  <si>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</si>
  <si>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</si>
  <si>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</si>
  <si>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</si>
  <si>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</si>
  <si>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</si>
  <si>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</si>
  <si>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</si>
  <si>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</si>
  <si>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</si>
  <si>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</si>
  <si>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</si>
  <si>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</si>
  <si>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</si>
  <si>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</si>
  <si>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</si>
  <si>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</si>
  <si>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</si>
  <si>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</si>
  <si>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</si>
  <si>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</si>
  <si>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</si>
  <si>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</si>
  <si>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</si>
  <si>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</si>
  <si>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</si>
  <si>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</si>
  <si>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</si>
  <si>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</si>
  <si>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</si>
  <si>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</si>
  <si>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</si>
  <si>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</si>
  <si>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</si>
  <si>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</si>
  <si>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</si>
  <si>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</si>
  <si>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</si>
  <si>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</si>
  <si>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</si>
  <si>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</si>
  <si>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</si>
  <si>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</si>
  <si>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</si>
  <si>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</si>
  <si>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</si>
  <si>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</si>
  <si>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</si>
  <si>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</si>
  <si>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</si>
  <si>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</si>
  <si>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</si>
  <si>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</si>
  <si>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</si>
  <si>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</si>
  <si>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</si>
  <si>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</si>
  <si>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</si>
  <si>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</si>
  <si>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</si>
  <si>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</si>
  <si>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</si>
  <si>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</si>
  <si>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</si>
  <si>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</si>
  <si>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</si>
  <si>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</si>
  <si>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</si>
  <si>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</si>
  <si>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</si>
  <si>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</si>
  <si>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</si>
  <si>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</si>
  <si>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</si>
  <si>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</si>
  <si>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</si>
  <si>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</si>
  <si>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</si>
  <si>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</si>
  <si>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</si>
  <si>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</si>
  <si>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</si>
  <si>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</si>
  <si>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</si>
  <si>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</si>
  <si>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</si>
  <si>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</si>
  <si>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</si>
  <si>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</si>
  <si>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</si>
  <si>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</si>
  <si>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</si>
  <si>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</si>
  <si>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</si>
  <si>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</si>
  <si>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</si>
  <si>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</si>
  <si>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</si>
  <si>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</si>
  <si>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</si>
  <si>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</si>
  <si>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</si>
  <si>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</si>
  <si>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</si>
  <si>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</si>
  <si>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</si>
  <si>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</si>
  <si>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</si>
  <si>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</si>
  <si>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</si>
  <si>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</si>
  <si>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</si>
  <si>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</si>
  <si>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</si>
  <si>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</si>
  <si>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</si>
  <si>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</si>
  <si>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</si>
  <si>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</si>
  <si>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</si>
  <si>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</si>
  <si>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</si>
  <si>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</si>
  <si>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</si>
  <si>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</si>
  <si>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</si>
  <si>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</si>
  <si>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</si>
  <si>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</si>
  <si>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</si>
  <si>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</si>
  <si>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</si>
  <si>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</si>
  <si>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</si>
  <si>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</si>
  <si>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</si>
  <si>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</si>
  <si>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</si>
  <si>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</si>
  <si>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</si>
  <si>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</si>
  <si>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</si>
  <si>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</si>
  <si>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</si>
  <si>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</si>
  <si>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</si>
  <si>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</si>
  <si>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</si>
  <si>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</si>
  <si>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</si>
  <si>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</si>
  <si>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</si>
  <si>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</si>
  <si>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</si>
  <si>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</si>
  <si>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</si>
  <si>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</si>
  <si>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</si>
  <si>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</si>
  <si>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</si>
  <si>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</si>
  <si>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</si>
  <si>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</si>
  <si>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</si>
  <si>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</si>
  <si>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</si>
  <si>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</si>
  <si>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</si>
  <si>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</si>
  <si>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</si>
  <si>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</si>
  <si>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</si>
  <si>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</si>
  <si>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</si>
  <si>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</si>
  <si>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</si>
  <si>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</si>
  <si>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</si>
  <si>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</si>
  <si>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</si>
  <si>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</si>
  <si>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</si>
  <si>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</si>
  <si>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</si>
  <si>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</si>
  <si>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</si>
  <si>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</si>
  <si>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</si>
  <si>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</si>
  <si>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</si>
  <si>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</si>
  <si>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</si>
  <si>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</si>
  <si>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</si>
  <si>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</si>
  <si>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</si>
  <si>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</si>
  <si>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</si>
  <si>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</si>
  <si>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</si>
  <si>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</si>
  <si>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</si>
  <si>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</si>
  <si>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</si>
  <si>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</si>
  <si>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</si>
  <si>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</si>
  <si>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</si>
  <si>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</si>
  <si>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</si>
  <si>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</si>
  <si>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</si>
  <si>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</si>
  <si>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</si>
  <si>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</si>
  <si>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</si>
  <si>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</si>
  <si>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</si>
  <si>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</si>
  <si>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</si>
  <si>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</si>
  <si>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</si>
  <si>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</si>
  <si>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</si>
  <si>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</si>
  <si>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</si>
  <si>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</si>
  <si>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</si>
  <si>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</si>
  <si>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</si>
  <si>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</si>
  <si>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</si>
  <si>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</si>
  <si>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</si>
  <si>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</si>
  <si>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</si>
  <si>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</si>
  <si>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</si>
  <si>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</si>
  <si>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</si>
  <si>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</si>
  <si>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</si>
  <si>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</si>
  <si>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</si>
  <si>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</si>
  <si>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</si>
  <si>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</si>
  <si>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</si>
  <si>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</si>
  <si>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</si>
  <si>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</si>
  <si>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</si>
  <si>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</si>
  <si>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</si>
  <si>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</si>
  <si>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</si>
  <si>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</si>
  <si>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</si>
  <si>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</si>
  <si>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</si>
  <si>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</si>
  <si>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</si>
  <si>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</si>
  <si>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</si>
  <si>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</si>
  <si>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</si>
  <si>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</si>
  <si>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</si>
  <si>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</si>
  <si>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</si>
  <si>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</si>
  <si>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</si>
  <si>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</si>
  <si>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</si>
  <si>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</si>
  <si>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</si>
  <si>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</si>
  <si>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</si>
  <si>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</si>
  <si>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</si>
  <si>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</si>
  <si>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</si>
  <si>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</si>
  <si>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</si>
  <si>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</si>
  <si>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</si>
  <si>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</si>
  <si>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</si>
  <si>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</si>
  <si>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</si>
  <si>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</si>
  <si>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</si>
  <si>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</si>
  <si>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</si>
  <si>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</si>
  <si>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</si>
  <si>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</si>
  <si>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</si>
  <si>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</si>
  <si>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</si>
  <si>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</si>
  <si>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</si>
  <si>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</si>
  <si>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</si>
  <si>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</si>
  <si>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</si>
  <si>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</si>
  <si>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</si>
  <si>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</si>
  <si>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</si>
  <si>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</si>
  <si>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</si>
  <si>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</si>
  <si>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</si>
  <si>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</si>
  <si>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</si>
  <si>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</si>
  <si>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</si>
  <si>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</si>
  <si>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</si>
  <si>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</si>
  <si>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</si>
  <si>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</si>
  <si>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</si>
  <si>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</si>
  <si>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</si>
  <si>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</si>
  <si>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</si>
  <si>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</si>
  <si>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</si>
  <si>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</si>
  <si>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</si>
  <si>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</si>
  <si>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</si>
  <si>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</si>
  <si>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</si>
  <si>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</si>
  <si>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</si>
  <si>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</si>
  <si>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</si>
  <si>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</si>
  <si>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</si>
  <si>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</si>
  <si>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>LAXMICHERRA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</si>
  <si>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</si>
  <si>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</si>
  <si>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</si>
  <si>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</si>
  <si>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</si>
  <si>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</si>
  <si>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</si>
  <si>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</si>
  <si>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</si>
  <si>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</si>
  <si>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</si>
  <si>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</si>
  <si>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</si>
  <si>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</si>
  <si>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</si>
  <si>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</si>
  <si>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</si>
  <si>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</si>
  <si>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</si>
  <si>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</si>
  <si>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</si>
  <si>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</si>
  <si>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</si>
  <si>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</si>
  <si>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</si>
  <si>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</si>
  <si>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</si>
  <si>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</si>
  <si>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</si>
  <si>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</si>
  <si>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</si>
  <si>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</si>
  <si>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</si>
  <si>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</si>
  <si>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</si>
  <si>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</si>
  <si>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</si>
  <si>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</si>
  <si>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</si>
  <si>
    <t>Ref: PBL/114/28/2022</t>
  </si>
  <si>
    <t>Date : 20/11/2022</t>
  </si>
  <si>
    <t>Buyers Purchase Statement of Sale No. 28 (2022-2023) Season held on 14th November, 2022</t>
  </si>
  <si>
    <t>SALE NO. 28</t>
  </si>
  <si>
    <t>99,52,525.10</t>
  </si>
  <si>
    <t>7,61,240.00</t>
  </si>
  <si>
    <t>2,88,337.50</t>
  </si>
  <si>
    <t>11,14,580.80</t>
  </si>
  <si>
    <t>11,15,000.50</t>
  </si>
  <si>
    <t>8,04,927.00</t>
  </si>
  <si>
    <t>7,69,721.00</t>
  </si>
  <si>
    <t>23,36,110.30</t>
  </si>
  <si>
    <t>1,42,86,255.40</t>
  </si>
  <si>
    <t>2,61,908.50</t>
  </si>
  <si>
    <t>14,39,683.50</t>
  </si>
  <si>
    <t>9,70,099.40</t>
  </si>
  <si>
    <t>4,08,345.60</t>
  </si>
  <si>
    <t>8,67,011.50</t>
  </si>
  <si>
    <t>7,33,575.00</t>
  </si>
  <si>
    <t>34,42,280.70</t>
  </si>
  <si>
    <t>2,56,539.50</t>
  </si>
  <si>
    <t>1,32,956.40</t>
  </si>
  <si>
    <t>1,84,250.00</t>
  </si>
  <si>
    <t>10,95,744.00</t>
  </si>
  <si>
    <t>2,86,211.90</t>
  </si>
  <si>
    <t>7,55,811.50</t>
  </si>
  <si>
    <t>14,98,437.40</t>
  </si>
  <si>
    <t>1,95,255.00</t>
  </si>
  <si>
    <t>1,63,737.60</t>
  </si>
  <si>
    <t>54,62,705.50</t>
  </si>
  <si>
    <t>5,68,343.00</t>
  </si>
  <si>
    <t>2,13,104.0</t>
  </si>
  <si>
    <t>2,56,030.0</t>
  </si>
  <si>
    <t>5,27,33,530.20</t>
  </si>
  <si>
    <t>JAGADISHPUR A/C PARKUL</t>
  </si>
  <si>
    <t>Ref: PBL/114/29/2022</t>
  </si>
  <si>
    <t>Date : 27/11/2022</t>
  </si>
  <si>
    <t>Buyers Purchase Statement of Sale No. 29 (2022-2023) Season held on 21st November, 2022</t>
  </si>
  <si>
    <t>SALE NO. 29</t>
  </si>
  <si>
    <t>42,40,577.70</t>
  </si>
  <si>
    <t>3,80,355.50</t>
  </si>
  <si>
    <t>1,96,802.00</t>
  </si>
  <si>
    <t>2,93,000.00</t>
  </si>
  <si>
    <t>5,12,678.40</t>
  </si>
  <si>
    <t>4,84,869.50</t>
  </si>
  <si>
    <t>26,92,929.00</t>
  </si>
  <si>
    <t>64,74,290.80</t>
  </si>
  <si>
    <t>6,47,941.00</t>
  </si>
  <si>
    <t>8,97,437.50</t>
  </si>
  <si>
    <t>1,19,308.80</t>
  </si>
  <si>
    <t>3,71,825.70</t>
  </si>
  <si>
    <t>1,19,210.20</t>
  </si>
  <si>
    <t>7,97,721.60</t>
  </si>
  <si>
    <t>20,71,047.50</t>
  </si>
  <si>
    <t>1,21,135.50</t>
  </si>
  <si>
    <t>2,02,849.20</t>
  </si>
  <si>
    <t>1,59,520.00</t>
  </si>
  <si>
    <t>2,28,033.00</t>
  </si>
  <si>
    <t>Sen Tea House</t>
  </si>
  <si>
    <t>12,03,469.60</t>
  </si>
  <si>
    <t>6,92,099.30</t>
  </si>
  <si>
    <t>1,00,339.20</t>
  </si>
  <si>
    <t>2,15,676.00</t>
  </si>
  <si>
    <t>34,60,422.50</t>
  </si>
  <si>
    <t>1,06,421.0</t>
  </si>
  <si>
    <t>1,37,662.4</t>
  </si>
  <si>
    <t>2,84,55,364.00</t>
  </si>
  <si>
    <t>Ref: PBL/114/30/2022</t>
  </si>
  <si>
    <t>Date : 04/12/2022</t>
  </si>
  <si>
    <t>Buyers Purchase Statement of Sale No. 30 (2022-2023) Season held on 28th November, 2022</t>
  </si>
  <si>
    <t>SALE NO. 30</t>
  </si>
  <si>
    <t>24,92,864.00</t>
  </si>
  <si>
    <t>1,42,500.00</t>
  </si>
  <si>
    <t>2,62,709.50</t>
  </si>
  <si>
    <t>2,99,550.00</t>
  </si>
  <si>
    <t>2,68,691.50</t>
  </si>
  <si>
    <t>3,04,542.50</t>
  </si>
  <si>
    <t>10,83,961.40</t>
  </si>
  <si>
    <t>59,42,077.40</t>
  </si>
  <si>
    <t>3,56,214.50</t>
  </si>
  <si>
    <t>6,43,356.50</t>
  </si>
  <si>
    <t>6,73,951.50</t>
  </si>
  <si>
    <t>7,77,611.00</t>
  </si>
  <si>
    <t>1,15,814.40</t>
  </si>
  <si>
    <t>1,25,798.40</t>
  </si>
  <si>
    <t>1,79,958.50</t>
  </si>
  <si>
    <t>3,15,500.00</t>
  </si>
  <si>
    <t>1,35,592.00</t>
  </si>
  <si>
    <t>1,69,972.00</t>
  </si>
  <si>
    <t>14,10,882.00</t>
  </si>
  <si>
    <t>34,52,497.50</t>
  </si>
  <si>
    <t>1,00,337.6</t>
  </si>
  <si>
    <t>2,22,44,859.60</t>
  </si>
  <si>
    <t>Ref: PBL/114/31/2022</t>
  </si>
  <si>
    <t>Date : 11/12/2022</t>
  </si>
  <si>
    <t>Buyers Purchase Statement of Sale No. 31 (2022-2023) Season held on 5th December, 2022</t>
  </si>
  <si>
    <t>SALE NO. 31</t>
  </si>
  <si>
    <t>1,05,52,943.50</t>
  </si>
  <si>
    <t>3,95,221.50</t>
  </si>
  <si>
    <t>2,92,057.50</t>
  </si>
  <si>
    <t>14,13,538.50</t>
  </si>
  <si>
    <t>10,07,472.50</t>
  </si>
  <si>
    <t>2,14,639.00</t>
  </si>
  <si>
    <t>11,46,708.50</t>
  </si>
  <si>
    <t>23,55,590.00</t>
  </si>
  <si>
    <t>4,51,346.60</t>
  </si>
  <si>
    <t>77,05,715.90</t>
  </si>
  <si>
    <t>3,05,709.60</t>
  </si>
  <si>
    <t>4,32,859.50</t>
  </si>
  <si>
    <t>6,09,702.00</t>
  </si>
  <si>
    <t>16,76,849.30</t>
  </si>
  <si>
    <t>Kazi Tea &amp; Trading</t>
  </si>
  <si>
    <t>1,84,943.50</t>
  </si>
  <si>
    <t>2,98,545.50</t>
  </si>
  <si>
    <t>48,08,243.50</t>
  </si>
  <si>
    <t>8,96,121.80</t>
  </si>
  <si>
    <t>3,47,279.80</t>
  </si>
  <si>
    <t>1,72,623.10</t>
  </si>
  <si>
    <t>36,42,933.30</t>
  </si>
  <si>
    <t>1,35,300.50</t>
  </si>
  <si>
    <t>9,75,183.00</t>
  </si>
  <si>
    <t>3,78,056.40</t>
  </si>
  <si>
    <t>6,54,978.20</t>
  </si>
  <si>
    <t>25,71,362.40</t>
  </si>
  <si>
    <t>26,03,588.00</t>
  </si>
  <si>
    <t>1,51,000.00</t>
  </si>
  <si>
    <t>2,09,468.0</t>
  </si>
  <si>
    <t>2,61,872.5</t>
  </si>
  <si>
    <t>4,89,66,961.70</t>
  </si>
  <si>
    <t>Buyers Purchase Statement of Sale No. 16 (Sreemangal) (2022-2023) Season held on 7th December, 2022</t>
  </si>
  <si>
    <t>SALE NO. 16 (Sreemongl)</t>
  </si>
  <si>
    <t>9,62,098.50</t>
  </si>
  <si>
    <t>1,19,000.00</t>
  </si>
  <si>
    <t>2,60,715.50</t>
  </si>
  <si>
    <t>7,53,973.00</t>
  </si>
  <si>
    <t>16,64,547.00</t>
  </si>
  <si>
    <t>1,17,500.00</t>
  </si>
  <si>
    <t>2,69,595.00</t>
  </si>
  <si>
    <t>43,49,321.50</t>
  </si>
  <si>
    <t xml:space="preserve">         Date : 11/12/2022</t>
  </si>
  <si>
    <t>Sale No. 31</t>
  </si>
  <si>
    <t>Upto Sale No. 31 (Includes Sreemongal Auction)</t>
  </si>
  <si>
    <t>Date: 11/12/2022</t>
  </si>
  <si>
    <t>Auction Average of Sale No. 31 held on 5th December, 2022</t>
  </si>
  <si>
    <t>Sale No. 16 (Sreemongal)</t>
  </si>
  <si>
    <t>Auction Average of Sale No. 16 (Sreemongal) held on 7th December, 2022</t>
  </si>
  <si>
    <t>Ref: PBL/114/32/2022</t>
  </si>
  <si>
    <t>Date : 18/12/2022</t>
  </si>
  <si>
    <t>Buyers Purchase Statement of Sale No. 32 (2022-2023) Season held on 12th December, 2022</t>
  </si>
  <si>
    <t>SALE NO. 32</t>
  </si>
  <si>
    <t>1,45,562.00</t>
  </si>
  <si>
    <t>62,12,062.00</t>
  </si>
  <si>
    <t>1,45,000.00</t>
  </si>
  <si>
    <t>12,21,964.50</t>
  </si>
  <si>
    <t>2,38,033.50</t>
  </si>
  <si>
    <t>20,82,792.50</t>
  </si>
  <si>
    <t>7,20,071.50</t>
  </si>
  <si>
    <t>39,02,422.20</t>
  </si>
  <si>
    <t>7,24,842.00</t>
  </si>
  <si>
    <t>63,37,976.60</t>
  </si>
  <si>
    <t>3,01,124.00</t>
  </si>
  <si>
    <t>4,48,431.50</t>
  </si>
  <si>
    <t>11,01,559.50</t>
  </si>
  <si>
    <t>10,02,263.50</t>
  </si>
  <si>
    <t>41,12,668.10</t>
  </si>
  <si>
    <t>1,47,562.00</t>
  </si>
  <si>
    <t>Novel Tea (Novel Tea Co.)</t>
  </si>
  <si>
    <t>9,79,706.00</t>
  </si>
  <si>
    <t>1,32,057.00</t>
  </si>
  <si>
    <t>2,28,000.00</t>
  </si>
  <si>
    <t>14,12,551.20</t>
  </si>
  <si>
    <t>7,68,945.50</t>
  </si>
  <si>
    <t>1,44,066.50</t>
  </si>
  <si>
    <t>2,04,385.00</t>
  </si>
  <si>
    <t>5,44,494.10</t>
  </si>
  <si>
    <t>19,54,504.50</t>
  </si>
  <si>
    <t>11,15,956.30</t>
  </si>
  <si>
    <t>18,01,888.00</t>
  </si>
  <si>
    <t>1,62,102.50</t>
  </si>
  <si>
    <t>4,00,775.00</t>
  </si>
  <si>
    <t>1,88,206.5</t>
  </si>
  <si>
    <t>2,29,879.7</t>
  </si>
  <si>
    <t>4,42,46,777.60</t>
  </si>
  <si>
    <t>Ref: PBL/114/33/2022</t>
  </si>
  <si>
    <t>Date : 22/12/2022</t>
  </si>
  <si>
    <t>Buyers Purchase Statement of Sale No. 33 (2022-2023) Season held on 19th December, 2022</t>
  </si>
  <si>
    <t>SALE NO. 33</t>
  </si>
  <si>
    <t xml:space="preserve">1,45,413.5    </t>
  </si>
  <si>
    <t>3,22,91,804.50</t>
  </si>
  <si>
    <t>41,71,982.80</t>
  </si>
  <si>
    <t>11,52,762.00</t>
  </si>
  <si>
    <t>2,17,065.00</t>
  </si>
  <si>
    <t>2,04,752.40</t>
  </si>
  <si>
    <t>6,37,088.00</t>
  </si>
  <si>
    <t>1,52,483.00</t>
  </si>
  <si>
    <t>12,67,906.50</t>
  </si>
  <si>
    <t>6,43,861.50</t>
  </si>
  <si>
    <t>43,48,511.50</t>
  </si>
  <si>
    <t>3,72,692.60</t>
  </si>
  <si>
    <t>11,85,276.40</t>
  </si>
  <si>
    <t>3,71,166.40</t>
  </si>
  <si>
    <t>3,18,287.00</t>
  </si>
  <si>
    <t>6,24,720.00</t>
  </si>
  <si>
    <t>55,86,508.50</t>
  </si>
  <si>
    <t>2,20,959.00</t>
  </si>
  <si>
    <t>Nijhun Tea &amp; Trading</t>
  </si>
  <si>
    <t>1,32,367.50</t>
  </si>
  <si>
    <t>2,01,892.50</t>
  </si>
  <si>
    <t>7,74,922.40</t>
  </si>
  <si>
    <t>1,50,837.50</t>
  </si>
  <si>
    <t>Ruby Tea Stores</t>
  </si>
  <si>
    <t>2,13,358.00</t>
  </si>
  <si>
    <t>8,61,177.70</t>
  </si>
  <si>
    <t>6,66,247.50</t>
  </si>
  <si>
    <t>2,12,361.00</t>
  </si>
  <si>
    <t>7,22,254.00</t>
  </si>
  <si>
    <t>Srabani Tea House</t>
  </si>
  <si>
    <t>1,39,081.50</t>
  </si>
  <si>
    <t>1,96,726.00</t>
  </si>
  <si>
    <t>4,70,360.50</t>
  </si>
  <si>
    <t>12,70,195.90</t>
  </si>
  <si>
    <t>13,33,348.00</t>
  </si>
  <si>
    <t>1,29,610.00</t>
  </si>
  <si>
    <t>1,72,958.9</t>
  </si>
  <si>
    <t xml:space="preserve">         Date : 22/12/2022</t>
  </si>
  <si>
    <t>Sale No. 33</t>
  </si>
  <si>
    <t>Upto Sale No. 33 (Includes Sreemongal Auction)</t>
  </si>
  <si>
    <t>Ref: PBL/114/34/2022</t>
  </si>
  <si>
    <t>Date : 01/01/2023</t>
  </si>
  <si>
    <t>Buyers Purchase Statement of Sale No. 34 (2022-2023) Season held on 26th December, 2022</t>
  </si>
  <si>
    <t>SALE NO. 34</t>
  </si>
  <si>
    <t>Jamuna Tea &amp; Trading  (Jamuna Tea C</t>
  </si>
  <si>
    <t>Aftab Tea Traders (Aftab Tea Co.)</t>
  </si>
  <si>
    <t>Shabnam Vegetable Oil Inds. Ltd.</t>
  </si>
  <si>
    <t>Ref: PBL/114/35/2022</t>
  </si>
  <si>
    <t>Date : 08/01/2023</t>
  </si>
  <si>
    <t>Buyers Purchase Statement of Sale No. 35 (2022-2023) Season held on 2nd January, 2023</t>
  </si>
  <si>
    <t>SALE NO. 35</t>
  </si>
  <si>
    <t>Askerabad (1st Floor), Chattogram-4224</t>
  </si>
  <si>
    <t>Ref: PBL/114/36/2022</t>
  </si>
  <si>
    <t>Date : 15/01/2023</t>
  </si>
  <si>
    <t>Buyers Purchase Statement of Sale No. 36 (2022-2023) Season held on 9th January, 2023</t>
  </si>
  <si>
    <t>SALE NO. 36</t>
  </si>
  <si>
    <t>1,14,885.00</t>
  </si>
  <si>
    <t>58,00,365.50</t>
  </si>
  <si>
    <t>6,74,015.50</t>
  </si>
  <si>
    <t>9,04,452.50</t>
  </si>
  <si>
    <t>1,90,925.50</t>
  </si>
  <si>
    <t>5,76,424.00</t>
  </si>
  <si>
    <t>2,72,768.50</t>
  </si>
  <si>
    <t>6,59,396.40</t>
  </si>
  <si>
    <t>3,40,070.50</t>
  </si>
  <si>
    <t>92,68,133.40</t>
  </si>
  <si>
    <t>7,83,168.30</t>
  </si>
  <si>
    <t>1,49,051.50</t>
  </si>
  <si>
    <t>23,75,085.70</t>
  </si>
  <si>
    <t>5,53,476.80</t>
  </si>
  <si>
    <t>12,60,307.30</t>
  </si>
  <si>
    <t>4,11,409.20</t>
  </si>
  <si>
    <t>3,64,915.20</t>
  </si>
  <si>
    <t>3,11,064.00</t>
  </si>
  <si>
    <t>27,19,894.50</t>
  </si>
  <si>
    <t>1,45,164.5</t>
  </si>
  <si>
    <t>1,83,295.5</t>
  </si>
  <si>
    <t>3,37,29,716.60</t>
  </si>
  <si>
    <t>Ref: PBL/114/37/2022</t>
  </si>
  <si>
    <t>Date : 22/01/2023</t>
  </si>
  <si>
    <t>Buyers Purchase Statement of Sale No. 37 (2022-2023) Season held on 16th January, 2023</t>
  </si>
  <si>
    <t>SALE NO. 37</t>
  </si>
  <si>
    <t>Ref: PBL/114/26-35/2022</t>
  </si>
  <si>
    <t>Buyers Purchase Statement upto Sale No. 26-35 (2022-2023) Season</t>
  </si>
  <si>
    <t>3,27,246.00</t>
  </si>
  <si>
    <t>17,14,239.00</t>
  </si>
  <si>
    <t>3,48,762.0</t>
  </si>
  <si>
    <t>3,68,675.0</t>
  </si>
  <si>
    <t>7,58,36,297.00</t>
  </si>
  <si>
    <t>17,14,112.20</t>
  </si>
  <si>
    <t>6,41,569.50</t>
  </si>
  <si>
    <t>14,07,950.00</t>
  </si>
  <si>
    <t>10,80,135.50</t>
  </si>
  <si>
    <t>1,18,18,244.20</t>
  </si>
  <si>
    <t>11,01,653.00</t>
  </si>
  <si>
    <t>3,89,827.00</t>
  </si>
  <si>
    <t>45,25,789.40</t>
  </si>
  <si>
    <t>12,51,131.00</t>
  </si>
  <si>
    <t>39,03,542.00</t>
  </si>
  <si>
    <t>2,88,090.50</t>
  </si>
  <si>
    <t>17,05,621.50</t>
  </si>
  <si>
    <t>79,49,467.70</t>
  </si>
  <si>
    <t>5,89,115.00</t>
  </si>
  <si>
    <t>8,74,904.50</t>
  </si>
  <si>
    <t>3,51,200.00</t>
  </si>
  <si>
    <t>1,90,94,098.30</t>
  </si>
  <si>
    <t>36,29,112.10</t>
  </si>
  <si>
    <t>4,29,433.0</t>
  </si>
  <si>
    <t>5,24,675.1</t>
  </si>
  <si>
    <t>10,68,22,809.90</t>
  </si>
  <si>
    <t>2,39,300.00</t>
  </si>
  <si>
    <t>47,04,830.60</t>
  </si>
  <si>
    <t>27,53,509.50</t>
  </si>
  <si>
    <t>1,48,553.00</t>
  </si>
  <si>
    <t>17,88,364.50</t>
  </si>
  <si>
    <t>11,13,783.90</t>
  </si>
  <si>
    <t>4,40,918.00</t>
  </si>
  <si>
    <t>12,47,620.00</t>
  </si>
  <si>
    <t>30,45,406.00</t>
  </si>
  <si>
    <t>1,89,523.5</t>
  </si>
  <si>
    <t>2,12,672.5</t>
  </si>
  <si>
    <t>3,98,00,511.20</t>
  </si>
  <si>
    <t>23,27,496.50</t>
  </si>
  <si>
    <t>3,68,415.50</t>
  </si>
  <si>
    <t>2,87,634.50</t>
  </si>
  <si>
    <t>12,41,154.50</t>
  </si>
  <si>
    <t>32,46,542.40</t>
  </si>
  <si>
    <t>3,49,097.50</t>
  </si>
  <si>
    <t>12,64,620.30</t>
  </si>
  <si>
    <t>7,20,328.00</t>
  </si>
  <si>
    <t>1,97,087.50</t>
  </si>
  <si>
    <t>6,87,118.50</t>
  </si>
  <si>
    <t>6,33,595.40</t>
  </si>
  <si>
    <t>3,48,402.20</t>
  </si>
  <si>
    <t>7,06,104.00</t>
  </si>
  <si>
    <t>2,91,124.00</t>
  </si>
  <si>
    <t>1,02,90,051.80</t>
  </si>
  <si>
    <t>29,30,447.50</t>
  </si>
  <si>
    <t>13,84,043.00</t>
  </si>
  <si>
    <t>26,32,712.70</t>
  </si>
  <si>
    <t>16,10,251.00</t>
  </si>
  <si>
    <t>1,00,62,806.50</t>
  </si>
  <si>
    <t>79,56,627.90</t>
  </si>
  <si>
    <t>16,61,002.40</t>
  </si>
  <si>
    <t>1,47,992.5</t>
  </si>
  <si>
    <t>3,12,69,513.50</t>
  </si>
  <si>
    <t>4,69,631.50</t>
  </si>
  <si>
    <t>23,47,203.00</t>
  </si>
  <si>
    <t>18,52,665.0</t>
  </si>
  <si>
    <t>4,57,721.9</t>
  </si>
  <si>
    <t>23,10,386.9</t>
  </si>
  <si>
    <t>45,42,75,087.10</t>
  </si>
  <si>
    <t>2,09,666.00</t>
  </si>
  <si>
    <t>22,62,969.90</t>
  </si>
  <si>
    <t>3,82,856.80</t>
  </si>
  <si>
    <t>6,09,415.00</t>
  </si>
  <si>
    <t>3,97,243.50</t>
  </si>
  <si>
    <t>5,53,227.10</t>
  </si>
  <si>
    <t>16,07,916.70</t>
  </si>
  <si>
    <t>5,86,189.40</t>
  </si>
  <si>
    <t>1,42,610.00</t>
  </si>
  <si>
    <t>2,49,457.90</t>
  </si>
  <si>
    <t>19,15,430.50</t>
  </si>
  <si>
    <t>1,28,613.00</t>
  </si>
  <si>
    <t>1,39,953.20</t>
  </si>
  <si>
    <t>4,27,315.20</t>
  </si>
  <si>
    <t>4,81,052.50</t>
  </si>
  <si>
    <t>6,15,555.80</t>
  </si>
  <si>
    <t>3,07,925.00</t>
  </si>
  <si>
    <t>1,54,752.00</t>
  </si>
  <si>
    <t>8,68,207.50</t>
  </si>
  <si>
    <t>1,62,31,632.00</t>
  </si>
  <si>
    <t>Ref: PBL/114/38/2022</t>
  </si>
  <si>
    <t>Date : 29/01/2023</t>
  </si>
  <si>
    <t>Buyers Purchase Statement of Sale No. 38 (2022-2023) Season held on 23rd January, 2023</t>
  </si>
  <si>
    <t>SALE NO. 38</t>
  </si>
  <si>
    <t>1,03,02,829.60</t>
  </si>
  <si>
    <t>8,28,658.00</t>
  </si>
  <si>
    <t>6,23,328.10</t>
  </si>
  <si>
    <t>16,63,123.50</t>
  </si>
  <si>
    <t>4,03,916.50</t>
  </si>
  <si>
    <t>2,86,041.60</t>
  </si>
  <si>
    <t>2,16,000.00</t>
  </si>
  <si>
    <t>Haque Tea House</t>
  </si>
  <si>
    <t>1,51,064.80</t>
  </si>
  <si>
    <t>2,99,598.50</t>
  </si>
  <si>
    <t>2,30,805.50</t>
  </si>
  <si>
    <t>19,02,940.60</t>
  </si>
  <si>
    <t>21,42,709.00</t>
  </si>
  <si>
    <t>89,98,966.00</t>
  </si>
  <si>
    <t>9,51,082.80</t>
  </si>
  <si>
    <t>1,93,689.60</t>
  </si>
  <si>
    <t>3,36,550.10</t>
  </si>
  <si>
    <t>3,13,508.20</t>
  </si>
  <si>
    <t>1,50,048.50</t>
  </si>
  <si>
    <t>52,26,717.60</t>
  </si>
  <si>
    <t>2,26,772.00</t>
  </si>
  <si>
    <t>1,20,820.00</t>
  </si>
  <si>
    <t>11,40,214.50</t>
  </si>
  <si>
    <t>4,81,387.50</t>
  </si>
  <si>
    <t>4,41,949.60</t>
  </si>
  <si>
    <t>8,63,832.90</t>
  </si>
  <si>
    <t>7,49,129.50</t>
  </si>
  <si>
    <t>9,92,612.50</t>
  </si>
  <si>
    <t>20,43,895.20</t>
  </si>
  <si>
    <t>30,20,169.50</t>
  </si>
  <si>
    <t>REVISED</t>
  </si>
  <si>
    <t>Ref: PBL/114/39/2022</t>
  </si>
  <si>
    <t>Date : 05/02/2023</t>
  </si>
  <si>
    <t>Buyers Purchase Statement of Sale No. 39 (2022-2023) Season held on 30th January, 2023</t>
  </si>
  <si>
    <t>SALE NO. 39</t>
  </si>
  <si>
    <t>Date: 05/02/2022</t>
  </si>
  <si>
    <t>Auction Average of Sale No. 39 held on 30th January, 2023</t>
  </si>
  <si>
    <t xml:space="preserve">         Date : 05/02/2023</t>
  </si>
  <si>
    <t>Sale No. 39</t>
  </si>
  <si>
    <t>Upto Sale No. 39 (Includes Sreemongal Auction)</t>
  </si>
  <si>
    <t>95,42,662.50</t>
  </si>
  <si>
    <t>6,15,451.00</t>
  </si>
  <si>
    <t>1,39,580.00</t>
  </si>
  <si>
    <t>11,17,226.00</t>
  </si>
  <si>
    <t>7,97,540.10</t>
  </si>
  <si>
    <t>1,69,595.00</t>
  </si>
  <si>
    <t>2,67,598.00</t>
  </si>
  <si>
    <t>11,23,760.00</t>
  </si>
  <si>
    <t>9,77,163.70</t>
  </si>
  <si>
    <t>Dulal &amp; Sons</t>
  </si>
  <si>
    <t>2,23,622.00</t>
  </si>
  <si>
    <t>6,01,993.00</t>
  </si>
  <si>
    <t>3,77,289.50</t>
  </si>
  <si>
    <t>5,94,688.50</t>
  </si>
  <si>
    <t>53,07,284.70</t>
  </si>
  <si>
    <t>1,57,622.40</t>
  </si>
  <si>
    <t>33,68,216.10</t>
  </si>
  <si>
    <t>1,10,323.20</t>
  </si>
  <si>
    <t>4,12,211.60</t>
  </si>
  <si>
    <t>1,29,409.00</t>
  </si>
  <si>
    <t>12,93,347.50</t>
  </si>
  <si>
    <t>2,73,379.00</t>
  </si>
  <si>
    <t>2,12,492.00</t>
  </si>
  <si>
    <t>7,41,741.50</t>
  </si>
  <si>
    <t>12,07,510.10</t>
  </si>
  <si>
    <t>10,17,393.50</t>
  </si>
  <si>
    <t>10,36,184.80</t>
  </si>
  <si>
    <t>10,83,077.00</t>
  </si>
  <si>
    <t>1,82,047.5</t>
  </si>
  <si>
    <t>2,14,772.0</t>
  </si>
  <si>
    <t>3,64,51,654.90</t>
  </si>
  <si>
    <t>Ref: PBL/114/20sree/2022</t>
  </si>
  <si>
    <t>Buyers Purchase Statement of Sale No. 20 (Sreemongal) (2022-2023) Season held on 1st February, 2023</t>
  </si>
  <si>
    <t>SALE NO. 20 (Sreemongal)</t>
  </si>
  <si>
    <t>4,86,078.00</t>
  </si>
  <si>
    <t>2,77,664.50</t>
  </si>
  <si>
    <t>12,05,413.50</t>
  </si>
  <si>
    <t>12,59,956.00</t>
  </si>
  <si>
    <t>51,10,482.30</t>
  </si>
  <si>
    <t>11,76,419.50</t>
  </si>
  <si>
    <t>7,07,839.00</t>
  </si>
  <si>
    <t>7,72,803.50</t>
  </si>
  <si>
    <t>5,89,856.60</t>
  </si>
  <si>
    <t>3,76,503.00</t>
  </si>
  <si>
    <t>2,46,145.20</t>
  </si>
  <si>
    <t>2,90,698.50</t>
  </si>
  <si>
    <t>69,13,838.10</t>
  </si>
  <si>
    <t>3,22,982.40</t>
  </si>
  <si>
    <t>1,23,628.00</t>
  </si>
  <si>
    <t>1,61,435.90</t>
  </si>
  <si>
    <t>2,40,277.00</t>
  </si>
  <si>
    <t>44,68,905.60</t>
  </si>
  <si>
    <t>3,42,462.40</t>
  </si>
  <si>
    <t>1,57,800.30</t>
  </si>
  <si>
    <t>1,57,526.00</t>
  </si>
  <si>
    <t>10,35,180.50</t>
  </si>
  <si>
    <t>1,94,913.50</t>
  </si>
  <si>
    <t>1,58,024.50</t>
  </si>
  <si>
    <t>4,14,752.00</t>
  </si>
  <si>
    <t>5,54,974.00</t>
  </si>
  <si>
    <t>3,24,309.00</t>
  </si>
  <si>
    <t>8,77,148.80</t>
  </si>
  <si>
    <t>13,43,522.00</t>
  </si>
  <si>
    <t>Vitalac Dairy &amp; Food Inds. Ltd.,</t>
  </si>
  <si>
    <t>5,37,871.00</t>
  </si>
  <si>
    <t>1,30,715.50</t>
  </si>
  <si>
    <t>1,70,372.0</t>
  </si>
  <si>
    <t>2,02,393.0</t>
  </si>
  <si>
    <t>3,51,28,793.90</t>
  </si>
  <si>
    <t>Ref: PBL/114/40/2022</t>
  </si>
  <si>
    <t>Date : 12/02/2023</t>
  </si>
  <si>
    <t>Buyers Purchase Statement of Sale No. 40 (2022-2023) Season held on 6th February, 2023</t>
  </si>
  <si>
    <t>SALE NO. 40</t>
  </si>
  <si>
    <t>Ref: PBL/114/41/2022</t>
  </si>
  <si>
    <t>Date : 19/02/2023</t>
  </si>
  <si>
    <t>Buyers Purchase Statement of Sale No. 41 (2022-2023) Season held on 13th February, 2023</t>
  </si>
  <si>
    <t>SALE NO. 41</t>
  </si>
  <si>
    <t>55,44,154.50</t>
  </si>
  <si>
    <t>4,12,031.00</t>
  </si>
  <si>
    <t>2,79,730.50</t>
  </si>
  <si>
    <t>1,27,616.00</t>
  </si>
  <si>
    <t>33,95,330.80</t>
  </si>
  <si>
    <t>2,76,857.20</t>
  </si>
  <si>
    <t>Kishorgonj Tea</t>
  </si>
  <si>
    <t>28,28,988.00</t>
  </si>
  <si>
    <t>1,60,745.80</t>
  </si>
  <si>
    <t>4,28,240.00</t>
  </si>
  <si>
    <t>2,67,821.60</t>
  </si>
  <si>
    <t>1,38,084.50</t>
  </si>
  <si>
    <t>4,67,222.50</t>
  </si>
  <si>
    <t>6,72,424.00</t>
  </si>
  <si>
    <t>1,28,976.5</t>
  </si>
  <si>
    <t>1,50,656.3</t>
  </si>
  <si>
    <t>2,34,73,288.10</t>
  </si>
  <si>
    <t>KURMAH A/C MADABPORE</t>
  </si>
  <si>
    <t>Ref: PBL/114/42/2022</t>
  </si>
  <si>
    <t>Date : 26/02/2023</t>
  </si>
  <si>
    <t>Buyers Purchase Statement of Sale No. 42 (2022-2023) Season held on 20th February, 2023</t>
  </si>
  <si>
    <t>SALE NO. 42</t>
  </si>
  <si>
    <t>55,69,827.00</t>
  </si>
  <si>
    <t>11,87,976.00</t>
  </si>
  <si>
    <t>9,31,903.80</t>
  </si>
  <si>
    <t>1,78,961.50</t>
  </si>
  <si>
    <t>1,89,715.00</t>
  </si>
  <si>
    <t>4,38,822.50</t>
  </si>
  <si>
    <t>89,36,559.20</t>
  </si>
  <si>
    <t>2,40,234.90</t>
  </si>
  <si>
    <t>2,30,214.00</t>
  </si>
  <si>
    <t>Kamal Tea &amp; Trading</t>
  </si>
  <si>
    <t>1,22,945.00</t>
  </si>
  <si>
    <t>1,21,268.00</t>
  </si>
  <si>
    <t>6,41,259.00</t>
  </si>
  <si>
    <t>1,20,138.50</t>
  </si>
  <si>
    <t>1,22,262.00</t>
  </si>
  <si>
    <t>2,51,699.80</t>
  </si>
  <si>
    <t>1,29,220.00</t>
  </si>
  <si>
    <t>12,42,130.00</t>
  </si>
  <si>
    <t>1,02,694.00</t>
  </si>
  <si>
    <t>4,55,012.10</t>
  </si>
  <si>
    <t>11,59,901.60</t>
  </si>
  <si>
    <t>1,86,553.50</t>
  </si>
  <si>
    <t>7,43,419.70</t>
  </si>
  <si>
    <t>2,45,760.50</t>
  </si>
  <si>
    <t>2,83,545.60</t>
  </si>
  <si>
    <t>1,56,850.0</t>
  </si>
  <si>
    <t>1,99,246.0</t>
  </si>
  <si>
    <t>3,18,21,164.00</t>
  </si>
  <si>
    <t>Ref: PBL/114/43/2022</t>
  </si>
  <si>
    <t>Date : 04/03/2023</t>
  </si>
  <si>
    <t>Buyers Purchase Statement of Sale No. 43 (2022-2023) Season held on 27th February, 2023</t>
  </si>
  <si>
    <t>SALE NO. 43</t>
  </si>
  <si>
    <t>15,50,498.00</t>
  </si>
  <si>
    <t>15,38,315.50</t>
  </si>
  <si>
    <t>3,02,204.00</t>
  </si>
  <si>
    <t>4,38,957.00</t>
  </si>
  <si>
    <t>3,72,275.00</t>
  </si>
  <si>
    <t>Gaspir Enterprise &amp; Tea House</t>
  </si>
  <si>
    <t>2,55,639.70</t>
  </si>
  <si>
    <t>4,15,293.50</t>
  </si>
  <si>
    <t>1,53,706.50</t>
  </si>
  <si>
    <t>1,64,019.00</t>
  </si>
  <si>
    <t>2,45,854.00</t>
  </si>
  <si>
    <t>12,12,061.00</t>
  </si>
  <si>
    <t>2,29,200.00</t>
  </si>
  <si>
    <t>3,70,996.00</t>
  </si>
  <si>
    <t>1,69,898.50</t>
  </si>
  <si>
    <t>3,16,823.50</t>
  </si>
  <si>
    <t>13,78,194.50</t>
  </si>
  <si>
    <t>9,57,719.50</t>
  </si>
  <si>
    <t>2,69,768.50</t>
  </si>
  <si>
    <t>6,73,312.00</t>
  </si>
  <si>
    <t>2,63,897.50</t>
  </si>
  <si>
    <t>2,34,415.50</t>
  </si>
  <si>
    <t>2,74,543.00</t>
  </si>
  <si>
    <t>10,90,138.00</t>
  </si>
  <si>
    <t>4,51,398.50</t>
  </si>
  <si>
    <t>1,10,496.00</t>
  </si>
  <si>
    <t>1,12,005.0</t>
  </si>
  <si>
    <t>1,23,964.8</t>
  </si>
  <si>
    <t>1,62,94,194.30</t>
  </si>
  <si>
    <t>2023-2024 SEASON</t>
  </si>
  <si>
    <t>Ref: PBL/114/44/2022</t>
  </si>
  <si>
    <t>Date : 12/03/2023</t>
  </si>
  <si>
    <t>Buyers Purchase Statement of Sale No. 44 (2022-2023) Season held on 6th March, 2023</t>
  </si>
  <si>
    <t>5,36,845.50</t>
  </si>
  <si>
    <t>2,24,694.40</t>
  </si>
  <si>
    <t>Arif Tea Co. Ltd.,</t>
  </si>
  <si>
    <t>7,93,075.50</t>
  </si>
  <si>
    <t>16,98,557.50</t>
  </si>
  <si>
    <t>10,69,494.50</t>
  </si>
  <si>
    <t>3,17,394.50</t>
  </si>
  <si>
    <t>1,02,879.00</t>
  </si>
  <si>
    <t>3,57,645.00</t>
  </si>
  <si>
    <t>5,49,829.00</t>
  </si>
  <si>
    <t>3,56,846.00</t>
  </si>
  <si>
    <t>46,26,990.00</t>
  </si>
  <si>
    <t>2,01,117.00</t>
  </si>
  <si>
    <t>4,42,997.00</t>
  </si>
  <si>
    <t>10,72,544.50</t>
  </si>
  <si>
    <t>12,87,440.50</t>
  </si>
  <si>
    <t>2,72,445.00</t>
  </si>
  <si>
    <t>1,01,732.50</t>
  </si>
  <si>
    <t>1,22,815.50</t>
  </si>
  <si>
    <t>3,01,378.50</t>
  </si>
  <si>
    <t>21,75,835.50</t>
  </si>
  <si>
    <t>1,13,813.00</t>
  </si>
  <si>
    <t>1,67,485.00</t>
  </si>
  <si>
    <t>7,70,296.80</t>
  </si>
  <si>
    <t>1,40,825.50</t>
  </si>
  <si>
    <t>1,55,233.5</t>
  </si>
  <si>
    <t>1,65,803.3</t>
  </si>
  <si>
    <t>2,07,35,934.10</t>
  </si>
  <si>
    <t>Date: 12/03/2022</t>
  </si>
  <si>
    <t>Auction Average of Sale No. 44 held on 6th March, 2023</t>
  </si>
  <si>
    <t>Sale No. 44</t>
  </si>
  <si>
    <t xml:space="preserve">         Date : 12/03/2023</t>
  </si>
  <si>
    <t>Upto Sale No. 44 (Includes Sreemongal Auction)</t>
  </si>
  <si>
    <t>SALE NO. 44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</si>
</sst>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trike/>
      <sz val="11"/>
      <name val="Arial"/>
      <family val="2"/>
    </font>
    <font>
      <u val="singleAccounting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1"/>
      <name val="Arial Narrow"/>
      <family val="2"/>
    </font>
    <font>
      <b/>
      <u val="singleAccounting"/>
      <sz val="11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trike/>
      <sz val="11"/>
      <name val="Arial"/>
      <family val="2"/>
    </font>
    <font>
      <b/>
      <u val="singleAccounting"/>
      <sz val="11"/>
      <name val="Tahoma"/>
      <family val="2"/>
    </font>
    <font>
      <b/>
      <u val="single"/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Accounting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u val="singleAccounting"/>
      <sz val="10"/>
      <color indexed="8"/>
      <name val="Calibri"/>
      <family val="2"/>
    </font>
    <font>
      <b/>
      <u val="singleAccounting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u val="singleAccounting"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u val="singleAccounting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u val="singleAccounting"/>
      <sz val="10"/>
      <color theme="1"/>
      <name val="Calibri"/>
      <family val="2"/>
    </font>
    <font>
      <b/>
      <u val="singleAccounting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u val="singleAccounting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7" borderId="1" applyNumberFormat="0" applyAlignment="0" applyProtection="0"/>
    <xf numFmtId="0" fontId="11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0" fontId="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1139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6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128" fillId="0" borderId="0" xfId="82" applyNumberFormat="1" applyFont="1">
      <alignment/>
      <protection/>
    </xf>
    <xf numFmtId="164" fontId="128" fillId="0" borderId="0" xfId="49" applyNumberFormat="1" applyFont="1" applyAlignment="1">
      <alignment/>
    </xf>
    <xf numFmtId="165" fontId="128" fillId="0" borderId="0" xfId="49" applyNumberFormat="1" applyFont="1" applyAlignment="1">
      <alignment/>
    </xf>
    <xf numFmtId="165" fontId="128" fillId="0" borderId="0" xfId="64" applyNumberFormat="1" applyFont="1" applyAlignment="1">
      <alignment horizontal="right"/>
    </xf>
    <xf numFmtId="164" fontId="128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129" fillId="0" borderId="0" xfId="0" applyFont="1" applyAlignment="1">
      <alignment/>
    </xf>
    <xf numFmtId="0" fontId="129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130" fillId="0" borderId="0" xfId="0" applyNumberFormat="1" applyFont="1" applyAlignment="1">
      <alignment/>
    </xf>
    <xf numFmtId="1" fontId="130" fillId="0" borderId="0" xfId="0" applyNumberFormat="1" applyFont="1" applyAlignment="1">
      <alignment horizontal="right"/>
    </xf>
    <xf numFmtId="165" fontId="130" fillId="0" borderId="0" xfId="42" applyNumberFormat="1" applyFont="1" applyAlignment="1">
      <alignment horizontal="right"/>
    </xf>
    <xf numFmtId="43" fontId="130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129" fillId="0" borderId="0" xfId="82" applyNumberFormat="1" applyFont="1">
      <alignment/>
      <protection/>
    </xf>
    <xf numFmtId="164" fontId="129" fillId="0" borderId="0" xfId="49" applyNumberFormat="1" applyFont="1" applyAlignment="1">
      <alignment/>
    </xf>
    <xf numFmtId="165" fontId="129" fillId="0" borderId="0" xfId="49" applyNumberFormat="1" applyFont="1" applyAlignment="1">
      <alignment/>
    </xf>
    <xf numFmtId="165" fontId="129" fillId="0" borderId="0" xfId="64" applyNumberFormat="1" applyFont="1" applyAlignment="1">
      <alignment horizontal="right"/>
    </xf>
    <xf numFmtId="164" fontId="129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131" fillId="0" borderId="0" xfId="42" applyNumberFormat="1" applyFont="1" applyAlignment="1">
      <alignment/>
    </xf>
    <xf numFmtId="165" fontId="131" fillId="0" borderId="0" xfId="42" applyNumberFormat="1" applyFont="1" applyAlignment="1">
      <alignment/>
    </xf>
    <xf numFmtId="165" fontId="131" fillId="0" borderId="0" xfId="42" applyNumberFormat="1" applyFont="1" applyAlignment="1">
      <alignment/>
    </xf>
    <xf numFmtId="43" fontId="131" fillId="0" borderId="0" xfId="42" applyFont="1" applyAlignment="1">
      <alignment horizontal="right"/>
    </xf>
    <xf numFmtId="43" fontId="131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132" fillId="0" borderId="0" xfId="0" applyNumberFormat="1" applyFont="1" applyAlignment="1">
      <alignment/>
    </xf>
    <xf numFmtId="1" fontId="132" fillId="0" borderId="0" xfId="0" applyNumberFormat="1" applyFont="1" applyAlignment="1">
      <alignment horizontal="right"/>
    </xf>
    <xf numFmtId="0" fontId="133" fillId="0" borderId="0" xfId="0" applyFont="1" applyAlignment="1">
      <alignment horizontal="right"/>
    </xf>
    <xf numFmtId="3" fontId="132" fillId="0" borderId="0" xfId="0" applyNumberFormat="1" applyFont="1" applyAlignment="1">
      <alignment horizontal="right"/>
    </xf>
    <xf numFmtId="165" fontId="132" fillId="0" borderId="0" xfId="42" applyNumberFormat="1" applyFont="1" applyAlignment="1">
      <alignment horizontal="right"/>
    </xf>
    <xf numFmtId="43" fontId="132" fillId="0" borderId="0" xfId="42" applyFont="1" applyAlignment="1">
      <alignment horizontal="right"/>
    </xf>
    <xf numFmtId="49" fontId="133" fillId="0" borderId="0" xfId="82" applyNumberFormat="1" applyFont="1">
      <alignment/>
      <protection/>
    </xf>
    <xf numFmtId="164" fontId="133" fillId="0" borderId="0" xfId="49" applyNumberFormat="1" applyFont="1" applyAlignment="1">
      <alignment/>
    </xf>
    <xf numFmtId="165" fontId="133" fillId="0" borderId="0" xfId="49" applyNumberFormat="1" applyFont="1" applyAlignment="1">
      <alignment/>
    </xf>
    <xf numFmtId="165" fontId="133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133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129" fillId="0" borderId="0" xfId="0" applyNumberFormat="1" applyFont="1" applyAlignment="1">
      <alignment/>
    </xf>
    <xf numFmtId="1" fontId="134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134" fillId="0" borderId="0" xfId="42" applyNumberFormat="1" applyFont="1" applyAlignment="1">
      <alignment horizontal="right"/>
    </xf>
    <xf numFmtId="165" fontId="134" fillId="0" borderId="0" xfId="42" applyNumberFormat="1" applyFont="1" applyAlignment="1">
      <alignment/>
    </xf>
    <xf numFmtId="43" fontId="134" fillId="0" borderId="0" xfId="42" applyFont="1" applyAlignment="1">
      <alignment horizontal="right"/>
    </xf>
    <xf numFmtId="43" fontId="134" fillId="0" borderId="0" xfId="42" applyFont="1" applyAlignment="1">
      <alignment/>
    </xf>
    <xf numFmtId="0" fontId="135" fillId="0" borderId="0" xfId="0" applyFont="1" applyAlignment="1">
      <alignment horizontal="right"/>
    </xf>
    <xf numFmtId="1" fontId="134" fillId="0" borderId="0" xfId="0" applyNumberFormat="1" applyFont="1" applyAlignment="1">
      <alignment/>
    </xf>
    <xf numFmtId="165" fontId="134" fillId="0" borderId="0" xfId="42" applyNumberFormat="1" applyFont="1" applyAlignment="1">
      <alignment/>
    </xf>
    <xf numFmtId="0" fontId="135" fillId="0" borderId="0" xfId="0" applyFont="1" applyAlignment="1">
      <alignment/>
    </xf>
    <xf numFmtId="3" fontId="134" fillId="0" borderId="0" xfId="0" applyNumberFormat="1" applyFont="1" applyAlignment="1">
      <alignment/>
    </xf>
    <xf numFmtId="3" fontId="134" fillId="0" borderId="0" xfId="0" applyNumberFormat="1" applyFont="1" applyAlignment="1">
      <alignment horizontal="right"/>
    </xf>
    <xf numFmtId="49" fontId="132" fillId="0" borderId="0" xfId="0" applyNumberFormat="1" applyFont="1" applyAlignment="1">
      <alignment horizontal="left"/>
    </xf>
    <xf numFmtId="165" fontId="132" fillId="0" borderId="0" xfId="42" applyNumberFormat="1" applyFont="1" applyAlignment="1">
      <alignment/>
    </xf>
    <xf numFmtId="1" fontId="132" fillId="0" borderId="0" xfId="0" applyNumberFormat="1" applyFont="1" applyAlignment="1">
      <alignment/>
    </xf>
    <xf numFmtId="165" fontId="132" fillId="0" borderId="0" xfId="42" applyNumberFormat="1" applyFont="1" applyAlignment="1">
      <alignment/>
    </xf>
    <xf numFmtId="0" fontId="133" fillId="0" borderId="0" xfId="0" applyFont="1" applyAlignment="1">
      <alignment/>
    </xf>
    <xf numFmtId="3" fontId="132" fillId="0" borderId="0" xfId="0" applyNumberFormat="1" applyFont="1" applyAlignment="1">
      <alignment/>
    </xf>
    <xf numFmtId="43" fontId="132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136" fillId="0" borderId="0" xfId="0" applyNumberFormat="1" applyFont="1" applyAlignment="1">
      <alignment/>
    </xf>
    <xf numFmtId="164" fontId="137" fillId="0" borderId="0" xfId="42" applyNumberFormat="1" applyFont="1" applyAlignment="1">
      <alignment/>
    </xf>
    <xf numFmtId="165" fontId="137" fillId="0" borderId="0" xfId="42" applyNumberFormat="1" applyFont="1" applyAlignment="1">
      <alignment/>
    </xf>
    <xf numFmtId="165" fontId="137" fillId="0" borderId="0" xfId="42" applyNumberFormat="1" applyFont="1" applyAlignment="1">
      <alignment/>
    </xf>
    <xf numFmtId="43" fontId="137" fillId="0" borderId="0" xfId="42" applyFont="1" applyAlignment="1">
      <alignment horizontal="right"/>
    </xf>
    <xf numFmtId="43" fontId="137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130" fillId="0" borderId="0" xfId="0" applyNumberFormat="1" applyFont="1" applyAlignment="1">
      <alignment horizontal="right"/>
    </xf>
    <xf numFmtId="165" fontId="130" fillId="0" borderId="0" xfId="42" applyNumberFormat="1" applyFont="1" applyAlignment="1">
      <alignment/>
    </xf>
    <xf numFmtId="165" fontId="130" fillId="0" borderId="0" xfId="42" applyNumberFormat="1" applyFont="1" applyAlignment="1">
      <alignment/>
    </xf>
    <xf numFmtId="43" fontId="130" fillId="0" borderId="0" xfId="42" applyFont="1" applyAlignment="1">
      <alignment/>
    </xf>
    <xf numFmtId="3" fontId="130" fillId="0" borderId="0" xfId="0" applyNumberFormat="1" applyFont="1" applyAlignment="1">
      <alignment/>
    </xf>
    <xf numFmtId="1" fontId="130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134" fillId="0" borderId="0" xfId="42" applyNumberFormat="1" applyFont="1" applyAlignment="1">
      <alignment horizontal="right"/>
    </xf>
    <xf numFmtId="164" fontId="135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134" fillId="0" borderId="0" xfId="0" applyNumberFormat="1" applyFont="1" applyAlignment="1">
      <alignment/>
    </xf>
    <xf numFmtId="164" fontId="134" fillId="0" borderId="0" xfId="42" applyNumberFormat="1" applyFont="1" applyAlignment="1">
      <alignment/>
    </xf>
    <xf numFmtId="164" fontId="138" fillId="0" borderId="0" xfId="42" applyNumberFormat="1" applyFont="1" applyAlignment="1">
      <alignment/>
    </xf>
    <xf numFmtId="43" fontId="134" fillId="0" borderId="0" xfId="42" applyFont="1" applyAlignment="1">
      <alignment/>
    </xf>
    <xf numFmtId="49" fontId="138" fillId="0" borderId="0" xfId="82" applyNumberFormat="1" applyFont="1">
      <alignment/>
      <protection/>
    </xf>
    <xf numFmtId="165" fontId="138" fillId="0" borderId="0" xfId="49" applyNumberFormat="1" applyFont="1" applyAlignment="1">
      <alignment/>
    </xf>
    <xf numFmtId="164" fontId="138" fillId="0" borderId="0" xfId="49" applyNumberFormat="1" applyFont="1" applyAlignment="1">
      <alignment/>
    </xf>
    <xf numFmtId="165" fontId="138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38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6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6" applyNumberFormat="1" applyFont="1" applyAlignment="1">
      <alignment/>
    </xf>
    <xf numFmtId="164" fontId="138" fillId="0" borderId="0" xfId="64" applyNumberFormat="1" applyFont="1" applyAlignment="1">
      <alignment horizontal="left"/>
    </xf>
    <xf numFmtId="3" fontId="131" fillId="0" borderId="0" xfId="0" applyNumberFormat="1" applyFont="1" applyAlignment="1">
      <alignment/>
    </xf>
    <xf numFmtId="165" fontId="131" fillId="0" borderId="0" xfId="42" applyNumberFormat="1" applyFont="1" applyAlignment="1">
      <alignment horizontal="right"/>
    </xf>
    <xf numFmtId="1" fontId="13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135" fillId="0" borderId="0" xfId="42" applyFont="1" applyAlignment="1">
      <alignment/>
    </xf>
    <xf numFmtId="164" fontId="135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132" fillId="0" borderId="0" xfId="42" applyNumberFormat="1" applyFont="1" applyAlignment="1">
      <alignment/>
    </xf>
    <xf numFmtId="164" fontId="133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133" fillId="0" borderId="0" xfId="64" applyNumberFormat="1" applyFont="1" applyAlignment="1">
      <alignment horizontal="left"/>
    </xf>
    <xf numFmtId="43" fontId="133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39" fillId="0" borderId="0" xfId="0" applyFont="1" applyAlignment="1">
      <alignment/>
    </xf>
    <xf numFmtId="0" fontId="80" fillId="0" borderId="0" xfId="0" applyFont="1" applyBorder="1" applyAlignment="1">
      <alignment/>
    </xf>
    <xf numFmtId="164" fontId="80" fillId="0" borderId="0" xfId="49" applyNumberFormat="1" applyFont="1" applyBorder="1" applyAlignment="1">
      <alignment/>
    </xf>
    <xf numFmtId="165" fontId="80" fillId="0" borderId="0" xfId="49" applyNumberFormat="1" applyFont="1" applyBorder="1" applyAlignment="1">
      <alignment/>
    </xf>
    <xf numFmtId="165" fontId="80" fillId="0" borderId="0" xfId="49" applyNumberFormat="1" applyFont="1" applyBorder="1" applyAlignment="1">
      <alignment horizontal="right"/>
    </xf>
    <xf numFmtId="43" fontId="80" fillId="0" borderId="0" xfId="49" applyFont="1" applyBorder="1" applyAlignment="1">
      <alignment horizontal="right"/>
    </xf>
    <xf numFmtId="0" fontId="80" fillId="0" borderId="0" xfId="0" applyFont="1" applyBorder="1" applyAlignment="1">
      <alignment horizontal="center"/>
    </xf>
    <xf numFmtId="168" fontId="80" fillId="0" borderId="0" xfId="0" applyNumberFormat="1" applyFont="1" applyBorder="1" applyAlignment="1">
      <alignment horizontal="left"/>
    </xf>
    <xf numFmtId="0" fontId="81" fillId="0" borderId="0" xfId="0" applyFont="1" applyBorder="1" applyAlignment="1">
      <alignment/>
    </xf>
    <xf numFmtId="165" fontId="80" fillId="0" borderId="0" xfId="49" applyNumberFormat="1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164" fontId="81" fillId="0" borderId="0" xfId="49" applyNumberFormat="1" applyFont="1" applyBorder="1" applyAlignment="1">
      <alignment horizontal="center"/>
    </xf>
    <xf numFmtId="165" fontId="81" fillId="0" borderId="0" xfId="49" applyNumberFormat="1" applyFont="1" applyBorder="1" applyAlignment="1">
      <alignment horizontal="center"/>
    </xf>
    <xf numFmtId="165" fontId="81" fillId="0" borderId="0" xfId="49" applyNumberFormat="1" applyFont="1" applyBorder="1" applyAlignment="1">
      <alignment horizontal="right"/>
    </xf>
    <xf numFmtId="43" fontId="81" fillId="0" borderId="0" xfId="49" applyFont="1" applyBorder="1" applyAlignment="1">
      <alignment horizontal="right"/>
    </xf>
    <xf numFmtId="0" fontId="81" fillId="0" borderId="0" xfId="0" applyFont="1" applyBorder="1" applyAlignment="1">
      <alignment horizontal="center"/>
    </xf>
    <xf numFmtId="43" fontId="81" fillId="0" borderId="0" xfId="49" applyFont="1" applyBorder="1" applyAlignment="1">
      <alignment horizontal="center"/>
    </xf>
    <xf numFmtId="164" fontId="81" fillId="0" borderId="0" xfId="49" applyNumberFormat="1" applyFont="1" applyBorder="1" applyAlignment="1">
      <alignment horizontal="right"/>
    </xf>
    <xf numFmtId="49" fontId="140" fillId="0" borderId="0" xfId="0" applyNumberFormat="1" applyFont="1" applyAlignment="1">
      <alignment/>
    </xf>
    <xf numFmtId="164" fontId="141" fillId="0" borderId="0" xfId="42" applyNumberFormat="1" applyFont="1" applyAlignment="1">
      <alignment horizontal="right"/>
    </xf>
    <xf numFmtId="165" fontId="141" fillId="0" borderId="0" xfId="42" applyNumberFormat="1" applyFont="1" applyAlignment="1">
      <alignment horizontal="right"/>
    </xf>
    <xf numFmtId="43" fontId="141" fillId="0" borderId="0" xfId="42" applyFont="1" applyAlignment="1">
      <alignment horizontal="right"/>
    </xf>
    <xf numFmtId="4" fontId="141" fillId="0" borderId="0" xfId="42" applyNumberFormat="1" applyFont="1" applyAlignment="1">
      <alignment horizontal="right"/>
    </xf>
    <xf numFmtId="164" fontId="84" fillId="0" borderId="0" xfId="42" applyNumberFormat="1" applyFont="1" applyBorder="1" applyAlignment="1">
      <alignment horizontal="right"/>
    </xf>
    <xf numFmtId="165" fontId="84" fillId="0" borderId="0" xfId="42" applyNumberFormat="1" applyFont="1" applyBorder="1" applyAlignment="1">
      <alignment horizontal="right"/>
    </xf>
    <xf numFmtId="43" fontId="84" fillId="0" borderId="0" xfId="42" applyFont="1" applyBorder="1" applyAlignment="1">
      <alignment horizontal="right"/>
    </xf>
    <xf numFmtId="0" fontId="81" fillId="33" borderId="0" xfId="0" applyFont="1" applyFill="1" applyBorder="1" applyAlignment="1">
      <alignment/>
    </xf>
    <xf numFmtId="164" fontId="81" fillId="33" borderId="0" xfId="49" applyNumberFormat="1" applyFont="1" applyFill="1" applyBorder="1" applyAlignment="1">
      <alignment horizontal="right"/>
    </xf>
    <xf numFmtId="165" fontId="81" fillId="33" borderId="0" xfId="49" applyNumberFormat="1" applyFont="1" applyFill="1" applyBorder="1" applyAlignment="1">
      <alignment horizontal="right"/>
    </xf>
    <xf numFmtId="164" fontId="81" fillId="33" borderId="0" xfId="49" applyNumberFormat="1" applyFont="1" applyFill="1" applyBorder="1" applyAlignment="1">
      <alignment horizontal="center"/>
    </xf>
    <xf numFmtId="165" fontId="81" fillId="33" borderId="0" xfId="49" applyNumberFormat="1" applyFont="1" applyFill="1" applyBorder="1" applyAlignment="1">
      <alignment horizontal="center"/>
    </xf>
    <xf numFmtId="43" fontId="84" fillId="0" borderId="0" xfId="49" applyFont="1" applyBorder="1" applyAlignment="1">
      <alignment horizontal="right"/>
    </xf>
    <xf numFmtId="164" fontId="140" fillId="0" borderId="0" xfId="42" applyNumberFormat="1" applyFont="1" applyAlignment="1">
      <alignment horizontal="right"/>
    </xf>
    <xf numFmtId="165" fontId="140" fillId="0" borderId="0" xfId="42" applyNumberFormat="1" applyFont="1" applyAlignment="1">
      <alignment horizontal="right"/>
    </xf>
    <xf numFmtId="43" fontId="140" fillId="0" borderId="0" xfId="42" applyFont="1" applyAlignment="1">
      <alignment horizontal="right"/>
    </xf>
    <xf numFmtId="164" fontId="142" fillId="0" borderId="0" xfId="42" applyNumberFormat="1" applyFont="1" applyAlignment="1">
      <alignment horizontal="right"/>
    </xf>
    <xf numFmtId="49" fontId="142" fillId="0" borderId="0" xfId="82" applyNumberFormat="1" applyFont="1">
      <alignment/>
      <protection/>
    </xf>
    <xf numFmtId="164" fontId="142" fillId="0" borderId="0" xfId="49" applyNumberFormat="1" applyFont="1" applyAlignment="1">
      <alignment/>
    </xf>
    <xf numFmtId="165" fontId="142" fillId="0" borderId="0" xfId="49" applyNumberFormat="1" applyFont="1" applyAlignment="1">
      <alignment/>
    </xf>
    <xf numFmtId="165" fontId="142" fillId="0" borderId="0" xfId="64" applyNumberFormat="1" applyFont="1" applyAlignment="1">
      <alignment horizontal="right"/>
    </xf>
    <xf numFmtId="43" fontId="80" fillId="33" borderId="0" xfId="49" applyFont="1" applyFill="1" applyBorder="1" applyAlignment="1">
      <alignment horizontal="right"/>
    </xf>
    <xf numFmtId="164" fontId="142" fillId="0" borderId="0" xfId="64" applyNumberFormat="1" applyFont="1" applyAlignment="1">
      <alignment horizontal="center"/>
    </xf>
    <xf numFmtId="0" fontId="80" fillId="0" borderId="0" xfId="0" applyFont="1" applyAlignment="1">
      <alignment horizontal="center"/>
    </xf>
    <xf numFmtId="164" fontId="13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43" fillId="0" borderId="0" xfId="0" applyFont="1" applyAlignment="1">
      <alignment/>
    </xf>
    <xf numFmtId="165" fontId="143" fillId="0" borderId="0" xfId="42" applyNumberFormat="1" applyFont="1" applyAlignment="1">
      <alignment/>
    </xf>
    <xf numFmtId="43" fontId="143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44" fillId="0" borderId="0" xfId="42" applyNumberFormat="1" applyFont="1" applyAlignment="1">
      <alignment horizontal="right"/>
    </xf>
    <xf numFmtId="165" fontId="144" fillId="0" borderId="0" xfId="42" applyNumberFormat="1" applyFont="1" applyAlignment="1">
      <alignment horizontal="right"/>
    </xf>
    <xf numFmtId="1" fontId="144" fillId="0" borderId="0" xfId="0" applyNumberFormat="1" applyFont="1" applyAlignment="1">
      <alignment horizontal="right"/>
    </xf>
    <xf numFmtId="43" fontId="144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130" fillId="0" borderId="0" xfId="42" applyNumberFormat="1" applyFont="1" applyAlignment="1">
      <alignment horizontal="right"/>
    </xf>
    <xf numFmtId="164" fontId="129" fillId="0" borderId="0" xfId="42" applyNumberFormat="1" applyFont="1" applyAlignment="1">
      <alignment horizontal="right"/>
    </xf>
    <xf numFmtId="164" fontId="145" fillId="0" borderId="0" xfId="42" applyNumberFormat="1" applyFont="1" applyAlignment="1">
      <alignment horizontal="right"/>
    </xf>
    <xf numFmtId="165" fontId="145" fillId="0" borderId="0" xfId="42" applyNumberFormat="1" applyFont="1" applyAlignment="1">
      <alignment horizontal="right"/>
    </xf>
    <xf numFmtId="43" fontId="145" fillId="0" borderId="0" xfId="42" applyFont="1" applyAlignment="1">
      <alignment horizontal="right"/>
    </xf>
    <xf numFmtId="164" fontId="130" fillId="0" borderId="0" xfId="42" applyNumberFormat="1" applyFont="1" applyAlignment="1">
      <alignment/>
    </xf>
    <xf numFmtId="164" fontId="129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129" fillId="0" borderId="0" xfId="64" applyNumberFormat="1" applyFont="1" applyAlignment="1">
      <alignment horizontal="left"/>
    </xf>
    <xf numFmtId="43" fontId="129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129" fillId="0" borderId="0" xfId="42" applyNumberFormat="1" applyFont="1" applyAlignment="1">
      <alignment/>
    </xf>
    <xf numFmtId="165" fontId="135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129" fillId="0" borderId="0" xfId="42" applyNumberFormat="1" applyFont="1" applyAlignment="1">
      <alignment horizontal="right"/>
    </xf>
    <xf numFmtId="165" fontId="129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129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45" fillId="0" borderId="0" xfId="42" applyNumberFormat="1" applyFont="1" applyAlignment="1">
      <alignment/>
    </xf>
    <xf numFmtId="165" fontId="145" fillId="0" borderId="0" xfId="42" applyNumberFormat="1" applyFont="1" applyAlignment="1">
      <alignment/>
    </xf>
    <xf numFmtId="165" fontId="145" fillId="0" borderId="0" xfId="42" applyNumberFormat="1" applyFont="1" applyAlignment="1">
      <alignment/>
    </xf>
    <xf numFmtId="43" fontId="145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6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43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6" applyNumberFormat="1" applyFont="1" applyBorder="1" applyAlignment="1">
      <alignment/>
    </xf>
    <xf numFmtId="3" fontId="144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46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6" applyNumberFormat="1" applyFont="1" applyBorder="1" applyAlignment="1">
      <alignment/>
    </xf>
    <xf numFmtId="43" fontId="144" fillId="0" borderId="0" xfId="42" applyFont="1" applyAlignment="1">
      <alignment/>
    </xf>
    <xf numFmtId="0" fontId="147" fillId="0" borderId="0" xfId="0" applyFont="1" applyAlignment="1">
      <alignment/>
    </xf>
    <xf numFmtId="10" fontId="16" fillId="0" borderId="0" xfId="86" applyNumberFormat="1" applyFont="1" applyAlignment="1">
      <alignment/>
    </xf>
    <xf numFmtId="164" fontId="146" fillId="0" borderId="0" xfId="42" applyNumberFormat="1" applyFont="1" applyAlignment="1">
      <alignment horizontal="right"/>
    </xf>
    <xf numFmtId="0" fontId="142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48" fillId="0" borderId="0" xfId="0" applyNumberFormat="1" applyFont="1" applyAlignment="1">
      <alignment/>
    </xf>
    <xf numFmtId="164" fontId="149" fillId="0" borderId="0" xfId="42" applyNumberFormat="1" applyFont="1" applyAlignment="1">
      <alignment horizontal="right"/>
    </xf>
    <xf numFmtId="165" fontId="149" fillId="0" borderId="0" xfId="42" applyNumberFormat="1" applyFont="1" applyAlignment="1">
      <alignment horizontal="right"/>
    </xf>
    <xf numFmtId="43" fontId="149" fillId="0" borderId="0" xfId="42" applyFont="1" applyAlignment="1">
      <alignment horizontal="right"/>
    </xf>
    <xf numFmtId="4" fontId="149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48" fillId="0" borderId="0" xfId="0" applyNumberFormat="1" applyFont="1" applyAlignment="1">
      <alignment horizontal="right"/>
    </xf>
    <xf numFmtId="165" fontId="148" fillId="0" borderId="0" xfId="42" applyNumberFormat="1" applyFont="1" applyAlignment="1">
      <alignment horizontal="right"/>
    </xf>
    <xf numFmtId="43" fontId="148" fillId="0" borderId="0" xfId="42" applyFont="1" applyAlignment="1">
      <alignment horizontal="right"/>
    </xf>
    <xf numFmtId="3" fontId="148" fillId="0" borderId="0" xfId="0" applyNumberFormat="1" applyFont="1" applyAlignment="1">
      <alignment horizontal="right"/>
    </xf>
    <xf numFmtId="0" fontId="150" fillId="0" borderId="0" xfId="0" applyFont="1" applyAlignment="1">
      <alignment horizontal="right"/>
    </xf>
    <xf numFmtId="164" fontId="148" fillId="0" borderId="0" xfId="42" applyNumberFormat="1" applyFont="1" applyAlignment="1">
      <alignment horizontal="right"/>
    </xf>
    <xf numFmtId="49" fontId="150" fillId="0" borderId="0" xfId="82" applyNumberFormat="1" applyFont="1">
      <alignment/>
      <protection/>
    </xf>
    <xf numFmtId="164" fontId="150" fillId="0" borderId="0" xfId="49" applyNumberFormat="1" applyFont="1" applyAlignment="1">
      <alignment/>
    </xf>
    <xf numFmtId="165" fontId="150" fillId="0" borderId="0" xfId="49" applyNumberFormat="1" applyFont="1" applyAlignment="1">
      <alignment/>
    </xf>
    <xf numFmtId="165" fontId="150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50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13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31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6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51" fillId="0" borderId="0" xfId="0" applyNumberFormat="1" applyFont="1" applyAlignment="1">
      <alignment/>
    </xf>
    <xf numFmtId="1" fontId="152" fillId="0" borderId="0" xfId="0" applyNumberFormat="1" applyFont="1" applyAlignment="1">
      <alignment horizontal="right"/>
    </xf>
    <xf numFmtId="165" fontId="152" fillId="0" borderId="0" xfId="42" applyNumberFormat="1" applyFont="1" applyAlignment="1">
      <alignment horizontal="right"/>
    </xf>
    <xf numFmtId="43" fontId="152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53" fillId="0" borderId="0" xfId="0" applyNumberFormat="1" applyFont="1" applyAlignment="1">
      <alignment/>
    </xf>
    <xf numFmtId="165" fontId="153" fillId="0" borderId="0" xfId="42" applyNumberFormat="1" applyFont="1" applyAlignment="1">
      <alignment/>
    </xf>
    <xf numFmtId="165" fontId="153" fillId="0" borderId="0" xfId="42" applyNumberFormat="1" applyFont="1" applyAlignment="1">
      <alignment/>
    </xf>
    <xf numFmtId="43" fontId="153" fillId="0" borderId="0" xfId="42" applyFont="1" applyAlignment="1">
      <alignment horizontal="right"/>
    </xf>
    <xf numFmtId="43" fontId="153" fillId="0" borderId="0" xfId="42" applyFont="1" applyAlignment="1">
      <alignment/>
    </xf>
    <xf numFmtId="0" fontId="126" fillId="0" borderId="0" xfId="0" applyFont="1" applyAlignment="1">
      <alignment/>
    </xf>
    <xf numFmtId="1" fontId="154" fillId="0" borderId="0" xfId="0" applyNumberFormat="1" applyFont="1" applyAlignment="1">
      <alignment/>
    </xf>
    <xf numFmtId="165" fontId="154" fillId="0" borderId="0" xfId="42" applyNumberFormat="1" applyFont="1" applyAlignment="1">
      <alignment/>
    </xf>
    <xf numFmtId="165" fontId="154" fillId="0" borderId="0" xfId="42" applyNumberFormat="1" applyFont="1" applyAlignment="1">
      <alignment/>
    </xf>
    <xf numFmtId="43" fontId="154" fillId="0" borderId="0" xfId="42" applyFont="1" applyAlignment="1">
      <alignment horizontal="right"/>
    </xf>
    <xf numFmtId="43" fontId="154" fillId="0" borderId="0" xfId="42" applyFont="1" applyAlignment="1">
      <alignment/>
    </xf>
    <xf numFmtId="3" fontId="154" fillId="0" borderId="0" xfId="0" applyNumberFormat="1" applyFont="1" applyAlignment="1">
      <alignment/>
    </xf>
    <xf numFmtId="165" fontId="154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51" fillId="0" borderId="0" xfId="0" applyNumberFormat="1" applyFont="1" applyAlignment="1">
      <alignment/>
    </xf>
    <xf numFmtId="4" fontId="151" fillId="0" borderId="0" xfId="0" applyNumberFormat="1" applyFont="1" applyAlignment="1">
      <alignment/>
    </xf>
    <xf numFmtId="172" fontId="151" fillId="0" borderId="0" xfId="0" applyNumberFormat="1" applyFont="1" applyAlignment="1">
      <alignment/>
    </xf>
    <xf numFmtId="4" fontId="151" fillId="0" borderId="0" xfId="0" applyNumberFormat="1" applyFont="1" applyAlignment="1">
      <alignment/>
    </xf>
    <xf numFmtId="43" fontId="151" fillId="0" borderId="0" xfId="42" applyFont="1" applyAlignment="1">
      <alignment horizontal="right"/>
    </xf>
    <xf numFmtId="0" fontId="151" fillId="0" borderId="0" xfId="0" applyFont="1" applyAlignment="1">
      <alignment/>
    </xf>
    <xf numFmtId="0" fontId="151" fillId="0" borderId="0" xfId="0" applyFont="1" applyAlignment="1">
      <alignment/>
    </xf>
    <xf numFmtId="2" fontId="151" fillId="0" borderId="0" xfId="0" applyNumberFormat="1" applyFont="1" applyAlignment="1">
      <alignment/>
    </xf>
    <xf numFmtId="171" fontId="151" fillId="0" borderId="0" xfId="0" applyNumberFormat="1" applyFont="1" applyAlignment="1">
      <alignment/>
    </xf>
    <xf numFmtId="171" fontId="151" fillId="0" borderId="0" xfId="0" applyNumberFormat="1" applyFont="1" applyAlignment="1">
      <alignment/>
    </xf>
    <xf numFmtId="10" fontId="0" fillId="0" borderId="0" xfId="85" applyNumberFormat="1" applyFont="1" applyAlignment="1">
      <alignment/>
    </xf>
    <xf numFmtId="164" fontId="132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133" fillId="0" borderId="0" xfId="42" applyNumberFormat="1" applyFont="1" applyAlignment="1">
      <alignment/>
    </xf>
    <xf numFmtId="165" fontId="133" fillId="0" borderId="0" xfId="42" applyNumberFormat="1" applyFont="1" applyAlignment="1">
      <alignment horizontal="right"/>
    </xf>
    <xf numFmtId="43" fontId="133" fillId="0" borderId="0" xfId="42" applyFont="1" applyAlignment="1">
      <alignment horizontal="center"/>
    </xf>
    <xf numFmtId="165" fontId="133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55" fillId="0" borderId="0" xfId="0" applyNumberFormat="1" applyFont="1" applyAlignment="1">
      <alignment horizontal="right"/>
    </xf>
    <xf numFmtId="165" fontId="155" fillId="0" borderId="0" xfId="42" applyNumberFormat="1" applyFont="1" applyAlignment="1">
      <alignment horizontal="right"/>
    </xf>
    <xf numFmtId="43" fontId="155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56" fillId="0" borderId="0" xfId="0" applyFont="1" applyAlignment="1">
      <alignment horizontal="right"/>
    </xf>
    <xf numFmtId="164" fontId="155" fillId="0" borderId="0" xfId="42" applyNumberFormat="1" applyFont="1" applyAlignment="1">
      <alignment horizontal="right"/>
    </xf>
    <xf numFmtId="3" fontId="155" fillId="0" borderId="0" xfId="0" applyNumberFormat="1" applyFont="1" applyAlignment="1">
      <alignment horizontal="right"/>
    </xf>
    <xf numFmtId="1" fontId="157" fillId="0" borderId="0" xfId="0" applyNumberFormat="1" applyFont="1" applyAlignment="1">
      <alignment/>
    </xf>
    <xf numFmtId="165" fontId="157" fillId="0" borderId="0" xfId="42" applyNumberFormat="1" applyFont="1" applyAlignment="1">
      <alignment/>
    </xf>
    <xf numFmtId="165" fontId="157" fillId="0" borderId="0" xfId="42" applyNumberFormat="1" applyFont="1" applyAlignment="1">
      <alignment/>
    </xf>
    <xf numFmtId="43" fontId="157" fillId="0" borderId="0" xfId="42" applyFont="1" applyAlignment="1">
      <alignment horizontal="right"/>
    </xf>
    <xf numFmtId="43" fontId="157" fillId="0" borderId="0" xfId="42" applyFont="1" applyAlignment="1">
      <alignment/>
    </xf>
    <xf numFmtId="3" fontId="157" fillId="0" borderId="0" xfId="0" applyNumberFormat="1" applyFont="1" applyAlignment="1">
      <alignment/>
    </xf>
    <xf numFmtId="165" fontId="157" fillId="0" borderId="0" xfId="4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6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6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6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4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6" applyNumberFormat="1" applyFont="1" applyBorder="1" applyAlignment="1">
      <alignment vertical="center"/>
    </xf>
    <xf numFmtId="164" fontId="15" fillId="0" borderId="0" xfId="49" applyNumberFormat="1" applyFont="1" applyAlignment="1">
      <alignment vertical="center"/>
    </xf>
    <xf numFmtId="0" fontId="1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6" applyNumberFormat="1" applyFont="1" applyAlignment="1">
      <alignment vertical="center"/>
    </xf>
    <xf numFmtId="0" fontId="147" fillId="0" borderId="0" xfId="0" applyFont="1" applyAlignment="1">
      <alignment vertical="center"/>
    </xf>
    <xf numFmtId="43" fontId="143" fillId="0" borderId="0" xfId="42" applyFont="1" applyAlignment="1">
      <alignment vertical="center"/>
    </xf>
    <xf numFmtId="43" fontId="16" fillId="0" borderId="0" xfId="49" applyFont="1" applyAlignment="1">
      <alignment vertical="center"/>
    </xf>
    <xf numFmtId="165" fontId="143" fillId="0" borderId="0" xfId="42" applyNumberFormat="1" applyFont="1" applyAlignment="1">
      <alignment vertical="center"/>
    </xf>
    <xf numFmtId="43" fontId="158" fillId="0" borderId="0" xfId="49" applyFont="1" applyAlignment="1">
      <alignment vertical="center"/>
    </xf>
    <xf numFmtId="165" fontId="129" fillId="0" borderId="11" xfId="49" applyNumberFormat="1" applyFont="1" applyBorder="1" applyAlignment="1">
      <alignment vertical="center"/>
    </xf>
    <xf numFmtId="43" fontId="159" fillId="0" borderId="0" xfId="49" applyFont="1" applyAlignment="1">
      <alignment vertical="center"/>
    </xf>
    <xf numFmtId="10" fontId="16" fillId="0" borderId="0" xfId="86" applyNumberFormat="1" applyFont="1" applyBorder="1" applyAlignment="1">
      <alignment horizontal="right" vertical="center"/>
    </xf>
    <xf numFmtId="10" fontId="30" fillId="0" borderId="0" xfId="86" applyNumberFormat="1" applyFont="1" applyAlignment="1">
      <alignment horizontal="center" vertical="center"/>
    </xf>
    <xf numFmtId="164" fontId="15" fillId="0" borderId="0" xfId="49" applyNumberFormat="1" applyFont="1" applyAlignment="1">
      <alignment horizontal="right" vertical="center"/>
    </xf>
    <xf numFmtId="165" fontId="17" fillId="0" borderId="0" xfId="49" applyNumberFormat="1" applyFont="1" applyBorder="1" applyAlignment="1">
      <alignment vertical="center"/>
    </xf>
    <xf numFmtId="10" fontId="15" fillId="0" borderId="0" xfId="86" applyNumberFormat="1" applyFont="1" applyAlignment="1">
      <alignment horizontal="center" vertical="center"/>
    </xf>
    <xf numFmtId="164" fontId="17" fillId="0" borderId="0" xfId="49" applyNumberFormat="1" applyFont="1" applyAlignment="1">
      <alignment horizontal="right"/>
    </xf>
    <xf numFmtId="165" fontId="31" fillId="0" borderId="0" xfId="49" applyNumberFormat="1" applyFont="1" applyBorder="1" applyAlignment="1">
      <alignment/>
    </xf>
    <xf numFmtId="0" fontId="31" fillId="0" borderId="0" xfId="0" applyFont="1" applyBorder="1" applyAlignment="1">
      <alignment/>
    </xf>
    <xf numFmtId="10" fontId="16" fillId="0" borderId="0" xfId="86" applyNumberFormat="1" applyFont="1" applyAlignment="1">
      <alignment horizontal="center"/>
    </xf>
    <xf numFmtId="164" fontId="17" fillId="0" borderId="0" xfId="49" applyNumberFormat="1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43" fontId="17" fillId="0" borderId="0" xfId="49" applyFont="1" applyAlignment="1">
      <alignment horizontal="right" vertical="center"/>
    </xf>
    <xf numFmtId="10" fontId="17" fillId="0" borderId="0" xfId="86" applyNumberFormat="1" applyFont="1" applyAlignment="1">
      <alignment horizontal="right" vertical="center"/>
    </xf>
    <xf numFmtId="0" fontId="160" fillId="0" borderId="0" xfId="0" applyFont="1" applyAlignment="1">
      <alignment vertical="center"/>
    </xf>
    <xf numFmtId="0" fontId="160" fillId="0" borderId="0" xfId="0" applyFont="1" applyAlignment="1">
      <alignment horizontal="right" vertical="center"/>
    </xf>
    <xf numFmtId="165" fontId="160" fillId="0" borderId="0" xfId="49" applyNumberFormat="1" applyFont="1" applyAlignment="1">
      <alignment horizontal="right" vertical="center"/>
    </xf>
    <xf numFmtId="43" fontId="160" fillId="0" borderId="0" xfId="49" applyFont="1" applyAlignment="1">
      <alignment horizontal="right" vertical="center"/>
    </xf>
    <xf numFmtId="164" fontId="160" fillId="0" borderId="0" xfId="49" applyNumberFormat="1" applyFont="1" applyAlignment="1">
      <alignment horizontal="right" vertical="center"/>
    </xf>
    <xf numFmtId="0" fontId="129" fillId="0" borderId="0" xfId="0" applyFont="1" applyAlignment="1">
      <alignment vertical="center"/>
    </xf>
    <xf numFmtId="164" fontId="129" fillId="0" borderId="0" xfId="49" applyNumberFormat="1" applyFont="1" applyAlignment="1">
      <alignment vertical="center"/>
    </xf>
    <xf numFmtId="165" fontId="129" fillId="0" borderId="0" xfId="49" applyNumberFormat="1" applyFont="1" applyAlignment="1">
      <alignment vertical="center"/>
    </xf>
    <xf numFmtId="43" fontId="129" fillId="0" borderId="0" xfId="49" applyFont="1" applyAlignment="1">
      <alignment vertical="center"/>
    </xf>
    <xf numFmtId="10" fontId="129" fillId="0" borderId="0" xfId="86" applyNumberFormat="1" applyFont="1" applyAlignment="1">
      <alignment vertical="center"/>
    </xf>
    <xf numFmtId="10" fontId="16" fillId="0" borderId="0" xfId="86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33" fillId="0" borderId="0" xfId="49" applyNumberFormat="1" applyFont="1" applyAlignment="1">
      <alignment vertical="center"/>
    </xf>
    <xf numFmtId="165" fontId="33" fillId="0" borderId="0" xfId="49" applyNumberFormat="1" applyFont="1" applyAlignment="1">
      <alignment vertical="center"/>
    </xf>
    <xf numFmtId="43" fontId="33" fillId="0" borderId="0" xfId="49" applyFont="1" applyAlignment="1">
      <alignment vertical="center"/>
    </xf>
    <xf numFmtId="10" fontId="33" fillId="0" borderId="0" xfId="86" applyNumberFormat="1" applyFont="1" applyAlignment="1">
      <alignment vertical="center"/>
    </xf>
    <xf numFmtId="0" fontId="32" fillId="0" borderId="0" xfId="0" applyFont="1" applyAlignment="1">
      <alignment/>
    </xf>
    <xf numFmtId="165" fontId="32" fillId="0" borderId="0" xfId="49" applyNumberFormat="1" applyFont="1" applyAlignment="1">
      <alignment/>
    </xf>
    <xf numFmtId="43" fontId="32" fillId="0" borderId="0" xfId="49" applyFont="1" applyAlignment="1">
      <alignment/>
    </xf>
    <xf numFmtId="165" fontId="25" fillId="0" borderId="0" xfId="49" applyNumberFormat="1" applyFont="1" applyAlignment="1">
      <alignment/>
    </xf>
    <xf numFmtId="43" fontId="25" fillId="0" borderId="0" xfId="49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right"/>
    </xf>
    <xf numFmtId="43" fontId="15" fillId="0" borderId="0" xfId="42" applyFont="1" applyAlignment="1">
      <alignment vertical="center"/>
    </xf>
    <xf numFmtId="43" fontId="16" fillId="0" borderId="0" xfId="42" applyFont="1" applyAlignment="1">
      <alignment horizontal="right" vertical="center"/>
    </xf>
    <xf numFmtId="43" fontId="17" fillId="0" borderId="0" xfId="42" applyFont="1" applyAlignment="1">
      <alignment vertical="center"/>
    </xf>
    <xf numFmtId="43" fontId="16" fillId="0" borderId="0" xfId="42" applyFont="1" applyAlignment="1">
      <alignment horizontal="right"/>
    </xf>
    <xf numFmtId="43" fontId="146" fillId="0" borderId="0" xfId="42" applyFont="1" applyAlignment="1">
      <alignment vertical="center"/>
    </xf>
    <xf numFmtId="43" fontId="17" fillId="0" borderId="0" xfId="42" applyFont="1" applyBorder="1" applyAlignment="1">
      <alignment/>
    </xf>
    <xf numFmtId="43" fontId="17" fillId="0" borderId="0" xfId="42" applyFont="1" applyAlignment="1">
      <alignment horizontal="right" vertical="center"/>
    </xf>
    <xf numFmtId="43" fontId="160" fillId="0" borderId="0" xfId="42" applyFont="1" applyAlignment="1">
      <alignment horizontal="right" vertical="center"/>
    </xf>
    <xf numFmtId="43" fontId="129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33" fillId="0" borderId="0" xfId="42" applyFont="1" applyAlignment="1">
      <alignment vertical="center"/>
    </xf>
    <xf numFmtId="43" fontId="17" fillId="0" borderId="0" xfId="42" applyFont="1" applyAlignment="1">
      <alignment horizontal="center" vertical="center"/>
    </xf>
    <xf numFmtId="43" fontId="15" fillId="0" borderId="0" xfId="42" applyFont="1" applyBorder="1" applyAlignment="1">
      <alignment vertical="center"/>
    </xf>
    <xf numFmtId="43" fontId="15" fillId="0" borderId="11" xfId="42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164" fontId="131" fillId="0" borderId="0" xfId="42" applyNumberFormat="1" applyFont="1" applyAlignment="1">
      <alignment horizontal="right"/>
    </xf>
    <xf numFmtId="172" fontId="131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43" fontId="130" fillId="0" borderId="0" xfId="42" applyFont="1" applyBorder="1" applyAlignment="1">
      <alignment horizontal="right"/>
    </xf>
    <xf numFmtId="0" fontId="15" fillId="0" borderId="12" xfId="81" applyFont="1" applyFill="1" applyBorder="1" applyAlignment="1">
      <alignment horizontal="left" vertical="top" wrapText="1"/>
      <protection/>
    </xf>
    <xf numFmtId="43" fontId="15" fillId="0" borderId="12" xfId="42" applyFont="1" applyFill="1" applyBorder="1" applyAlignment="1">
      <alignment horizontal="right" vertical="top" wrapText="1"/>
    </xf>
    <xf numFmtId="43" fontId="130" fillId="0" borderId="12" xfId="42" applyFont="1" applyFill="1" applyBorder="1" applyAlignment="1">
      <alignment horizontal="left" vertical="top" shrinkToFit="1"/>
    </xf>
    <xf numFmtId="0" fontId="15" fillId="0" borderId="0" xfId="81" applyFont="1" applyFill="1" applyBorder="1" applyAlignment="1">
      <alignment horizontal="left" vertical="top" wrapText="1"/>
      <protection/>
    </xf>
    <xf numFmtId="43" fontId="130" fillId="0" borderId="0" xfId="42" applyFont="1" applyFill="1" applyBorder="1" applyAlignment="1">
      <alignment horizontal="right" vertical="top" shrinkToFit="1"/>
    </xf>
    <xf numFmtId="43" fontId="15" fillId="0" borderId="0" xfId="42" applyFont="1" applyFill="1" applyBorder="1" applyAlignment="1">
      <alignment horizontal="right" vertical="top" wrapText="1"/>
    </xf>
    <xf numFmtId="43" fontId="130" fillId="0" borderId="0" xfId="42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wrapText="1" indent="1"/>
    </xf>
    <xf numFmtId="43" fontId="15" fillId="0" borderId="0" xfId="42" applyFont="1" applyFill="1" applyBorder="1" applyAlignment="1">
      <alignment horizontal="left" vertical="top" wrapText="1" indent="1"/>
    </xf>
    <xf numFmtId="165" fontId="130" fillId="0" borderId="0" xfId="42" applyNumberFormat="1" applyFont="1" applyFill="1" applyBorder="1" applyAlignment="1">
      <alignment horizontal="center" vertical="top" shrinkToFit="1"/>
    </xf>
    <xf numFmtId="164" fontId="130" fillId="0" borderId="12" xfId="42" applyNumberFormat="1" applyFont="1" applyFill="1" applyBorder="1" applyAlignment="1">
      <alignment horizontal="right" vertical="top" indent="2" shrinkToFit="1"/>
    </xf>
    <xf numFmtId="164" fontId="130" fillId="0" borderId="0" xfId="42" applyNumberFormat="1" applyFont="1" applyFill="1" applyBorder="1" applyAlignment="1">
      <alignment horizontal="right" vertical="top" indent="2" shrinkToFit="1"/>
    </xf>
    <xf numFmtId="164" fontId="130" fillId="0" borderId="0" xfId="42" applyNumberFormat="1" applyFont="1" applyFill="1" applyBorder="1" applyAlignment="1">
      <alignment horizontal="left" wrapText="1"/>
    </xf>
    <xf numFmtId="164" fontId="130" fillId="0" borderId="0" xfId="42" applyNumberFormat="1" applyFont="1" applyFill="1" applyBorder="1" applyAlignment="1">
      <alignment horizontal="center" vertical="top" shrinkToFit="1"/>
    </xf>
    <xf numFmtId="164" fontId="161" fillId="0" borderId="0" xfId="42" applyNumberFormat="1" applyFont="1" applyAlignment="1">
      <alignment/>
    </xf>
    <xf numFmtId="165" fontId="130" fillId="0" borderId="12" xfId="42" applyNumberFormat="1" applyFont="1" applyFill="1" applyBorder="1" applyAlignment="1">
      <alignment horizontal="right" vertical="top" shrinkToFit="1"/>
    </xf>
    <xf numFmtId="165" fontId="130" fillId="0" borderId="0" xfId="42" applyNumberFormat="1" applyFont="1" applyFill="1" applyBorder="1" applyAlignment="1">
      <alignment horizontal="right" vertical="top" shrinkToFit="1"/>
    </xf>
    <xf numFmtId="165" fontId="15" fillId="0" borderId="0" xfId="42" applyNumberFormat="1" applyFont="1" applyFill="1" applyBorder="1" applyAlignment="1">
      <alignment horizontal="center" vertical="top" wrapText="1"/>
    </xf>
    <xf numFmtId="164" fontId="0" fillId="0" borderId="0" xfId="42" applyNumberFormat="1" applyFont="1" applyAlignment="1">
      <alignment/>
    </xf>
    <xf numFmtId="165" fontId="130" fillId="0" borderId="12" xfId="42" applyNumberFormat="1" applyFont="1" applyFill="1" applyBorder="1" applyAlignment="1">
      <alignment horizontal="right" vertical="top" indent="1" shrinkToFit="1"/>
    </xf>
    <xf numFmtId="165" fontId="130" fillId="0" borderId="0" xfId="42" applyNumberFormat="1" applyFont="1" applyFill="1" applyBorder="1" applyAlignment="1">
      <alignment horizontal="right" vertical="top" indent="1" shrinkToFit="1"/>
    </xf>
    <xf numFmtId="0" fontId="34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42" applyNumberFormat="1" applyFont="1" applyAlignment="1">
      <alignment horizontal="left" vertical="center"/>
    </xf>
    <xf numFmtId="165" fontId="34" fillId="0" borderId="0" xfId="49" applyNumberFormat="1" applyFont="1" applyAlignment="1">
      <alignment vertical="center"/>
    </xf>
    <xf numFmtId="166" fontId="34" fillId="0" borderId="0" xfId="49" applyNumberFormat="1" applyFont="1" applyAlignment="1">
      <alignment horizontal="right" vertical="center"/>
    </xf>
    <xf numFmtId="166" fontId="34" fillId="0" borderId="0" xfId="0" applyNumberFormat="1" applyFont="1" applyAlignment="1">
      <alignment horizontal="center" vertical="center"/>
    </xf>
    <xf numFmtId="164" fontId="34" fillId="0" borderId="11" xfId="42" applyNumberFormat="1" applyFont="1" applyBorder="1" applyAlignment="1">
      <alignment horizontal="left" vertical="center"/>
    </xf>
    <xf numFmtId="165" fontId="34" fillId="0" borderId="11" xfId="49" applyNumberFormat="1" applyFont="1" applyBorder="1" applyAlignment="1">
      <alignment vertical="center"/>
    </xf>
    <xf numFmtId="166" fontId="34" fillId="0" borderId="11" xfId="49" applyNumberFormat="1" applyFont="1" applyBorder="1" applyAlignment="1">
      <alignment horizontal="right" vertical="center"/>
    </xf>
    <xf numFmtId="164" fontId="34" fillId="0" borderId="10" xfId="42" applyNumberFormat="1" applyFont="1" applyBorder="1" applyAlignment="1">
      <alignment vertical="center"/>
    </xf>
    <xf numFmtId="165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right" vertical="center"/>
    </xf>
    <xf numFmtId="166" fontId="34" fillId="0" borderId="10" xfId="0" applyNumberFormat="1" applyFont="1" applyBorder="1" applyAlignment="1">
      <alignment horizontal="center" vertical="center"/>
    </xf>
    <xf numFmtId="164" fontId="34" fillId="0" borderId="0" xfId="49" applyNumberFormat="1" applyFont="1" applyAlignment="1">
      <alignment horizontal="left" vertical="center"/>
    </xf>
    <xf numFmtId="164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center" vertical="center"/>
    </xf>
    <xf numFmtId="165" fontId="34" fillId="0" borderId="10" xfId="42" applyNumberFormat="1" applyFont="1" applyBorder="1" applyAlignment="1">
      <alignment vertical="center"/>
    </xf>
    <xf numFmtId="173" fontId="34" fillId="0" borderId="10" xfId="42" applyNumberFormat="1" applyFont="1" applyBorder="1" applyAlignment="1">
      <alignment vertical="center"/>
    </xf>
    <xf numFmtId="164" fontId="34" fillId="0" borderId="0" xfId="49" applyNumberFormat="1" applyFont="1" applyBorder="1" applyAlignment="1">
      <alignment vertical="center"/>
    </xf>
    <xf numFmtId="165" fontId="34" fillId="0" borderId="0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horizontal="right" vertical="center"/>
    </xf>
    <xf numFmtId="166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164" fontId="34" fillId="0" borderId="11" xfId="49" applyNumberFormat="1" applyFont="1" applyBorder="1" applyAlignment="1">
      <alignment horizontal="left" vertical="center"/>
    </xf>
    <xf numFmtId="0" fontId="34" fillId="0" borderId="11" xfId="0" applyNumberFormat="1" applyFont="1" applyBorder="1" applyAlignment="1">
      <alignment horizontal="center" vertical="center"/>
    </xf>
    <xf numFmtId="164" fontId="34" fillId="0" borderId="11" xfId="49" applyNumberFormat="1" applyFont="1" applyBorder="1" applyAlignment="1">
      <alignment vertical="center"/>
    </xf>
    <xf numFmtId="0" fontId="34" fillId="0" borderId="11" xfId="49" applyNumberFormat="1" applyFont="1" applyBorder="1" applyAlignment="1">
      <alignment horizontal="center" vertical="center"/>
    </xf>
    <xf numFmtId="164" fontId="35" fillId="0" borderId="0" xfId="49" applyNumberFormat="1" applyFont="1" applyBorder="1" applyAlignment="1">
      <alignment horizontal="left" vertical="center"/>
    </xf>
    <xf numFmtId="165" fontId="35" fillId="0" borderId="0" xfId="49" applyNumberFormat="1" applyFont="1" applyBorder="1" applyAlignment="1">
      <alignment vertical="center"/>
    </xf>
    <xf numFmtId="166" fontId="35" fillId="0" borderId="0" xfId="49" applyNumberFormat="1" applyFont="1" applyBorder="1" applyAlignment="1">
      <alignment horizontal="right" vertical="center"/>
    </xf>
    <xf numFmtId="166" fontId="35" fillId="0" borderId="0" xfId="0" applyNumberFormat="1" applyFont="1" applyBorder="1" applyAlignment="1">
      <alignment horizontal="center" vertical="center"/>
    </xf>
    <xf numFmtId="166" fontId="34" fillId="0" borderId="11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vertical="center"/>
    </xf>
    <xf numFmtId="164" fontId="35" fillId="0" borderId="0" xfId="49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64" fontId="34" fillId="0" borderId="0" xfId="49" applyNumberFormat="1" applyFont="1" applyBorder="1" applyAlignment="1">
      <alignment horizontal="right" vertical="center"/>
    </xf>
    <xf numFmtId="165" fontId="34" fillId="0" borderId="0" xfId="49" applyNumberFormat="1" applyFont="1" applyBorder="1" applyAlignment="1">
      <alignment horizontal="right" vertical="center"/>
    </xf>
    <xf numFmtId="10" fontId="34" fillId="0" borderId="0" xfId="86" applyNumberFormat="1" applyFont="1" applyBorder="1" applyAlignment="1">
      <alignment horizontal="right" vertical="center"/>
    </xf>
    <xf numFmtId="165" fontId="35" fillId="0" borderId="0" xfId="49" applyNumberFormat="1" applyFont="1" applyBorder="1" applyAlignment="1">
      <alignment horizontal="right" vertical="center"/>
    </xf>
    <xf numFmtId="10" fontId="35" fillId="0" borderId="0" xfId="86" applyNumberFormat="1" applyFont="1" applyBorder="1" applyAlignment="1">
      <alignment horizontal="right" vertical="center"/>
    </xf>
    <xf numFmtId="165" fontId="35" fillId="0" borderId="0" xfId="42" applyNumberFormat="1" applyFont="1" applyBorder="1" applyAlignment="1">
      <alignment horizontal="right" vertical="center"/>
    </xf>
    <xf numFmtId="43" fontId="35" fillId="0" borderId="0" xfId="49" applyFont="1" applyBorder="1" applyAlignment="1">
      <alignment horizontal="right" vertical="center"/>
    </xf>
    <xf numFmtId="10" fontId="34" fillId="0" borderId="0" xfId="86" applyNumberFormat="1" applyFont="1" applyAlignment="1">
      <alignment vertical="center"/>
    </xf>
    <xf numFmtId="164" fontId="15" fillId="33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15" fillId="33" borderId="0" xfId="42" applyFont="1" applyFill="1" applyBorder="1" applyAlignment="1">
      <alignment horizontal="center"/>
    </xf>
    <xf numFmtId="164" fontId="152" fillId="0" borderId="0" xfId="42" applyNumberFormat="1" applyFont="1" applyAlignment="1">
      <alignment horizontal="right"/>
    </xf>
    <xf numFmtId="164" fontId="28" fillId="33" borderId="0" xfId="42" applyNumberFormat="1" applyFont="1" applyFill="1" applyBorder="1" applyAlignment="1">
      <alignment horizontal="center"/>
    </xf>
    <xf numFmtId="1" fontId="153" fillId="0" borderId="0" xfId="0" applyNumberFormat="1" applyFont="1" applyAlignment="1">
      <alignment horizontal="right"/>
    </xf>
    <xf numFmtId="0" fontId="153" fillId="0" borderId="0" xfId="0" applyFont="1" applyAlignment="1">
      <alignment horizontal="right"/>
    </xf>
    <xf numFmtId="172" fontId="153" fillId="0" borderId="0" xfId="0" applyNumberFormat="1" applyFont="1" applyAlignment="1">
      <alignment horizontal="right"/>
    </xf>
    <xf numFmtId="4" fontId="153" fillId="0" borderId="0" xfId="0" applyNumberFormat="1" applyFont="1" applyAlignment="1">
      <alignment horizontal="right"/>
    </xf>
    <xf numFmtId="171" fontId="153" fillId="0" borderId="0" xfId="0" applyNumberFormat="1" applyFont="1" applyAlignment="1">
      <alignment horizontal="right"/>
    </xf>
    <xf numFmtId="0" fontId="126" fillId="0" borderId="0" xfId="0" applyFont="1" applyAlignment="1">
      <alignment horizontal="right"/>
    </xf>
    <xf numFmtId="3" fontId="153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left" vertical="top" wrapText="1" indent="1"/>
    </xf>
    <xf numFmtId="164" fontId="151" fillId="0" borderId="0" xfId="42" applyNumberFormat="1" applyFont="1" applyFill="1" applyBorder="1" applyAlignment="1">
      <alignment horizontal="center" vertical="top" shrinkToFit="1"/>
    </xf>
    <xf numFmtId="165" fontId="27" fillId="0" borderId="0" xfId="42" applyNumberFormat="1" applyFont="1" applyFill="1" applyBorder="1" applyAlignment="1">
      <alignment horizontal="center" vertical="top" wrapText="1"/>
    </xf>
    <xf numFmtId="165" fontId="151" fillId="0" borderId="0" xfId="42" applyNumberFormat="1" applyFont="1" applyFill="1" applyBorder="1" applyAlignment="1">
      <alignment horizontal="center" vertical="top" shrinkToFit="1"/>
    </xf>
    <xf numFmtId="43" fontId="27" fillId="0" borderId="0" xfId="42" applyFont="1" applyFill="1" applyBorder="1" applyAlignment="1">
      <alignment horizontal="left" vertical="top" wrapText="1" indent="1"/>
    </xf>
    <xf numFmtId="43" fontId="151" fillId="0" borderId="0" xfId="42" applyFont="1" applyBorder="1" applyAlignment="1">
      <alignment horizontal="right"/>
    </xf>
    <xf numFmtId="49" fontId="162" fillId="0" borderId="0" xfId="82" applyNumberFormat="1" applyFont="1">
      <alignment/>
      <protection/>
    </xf>
    <xf numFmtId="165" fontId="162" fillId="0" borderId="0" xfId="42" applyNumberFormat="1" applyFont="1" applyAlignment="1">
      <alignment/>
    </xf>
    <xf numFmtId="164" fontId="162" fillId="0" borderId="0" xfId="42" applyNumberFormat="1" applyFont="1" applyAlignment="1">
      <alignment/>
    </xf>
    <xf numFmtId="43" fontId="162" fillId="0" borderId="0" xfId="42" applyFont="1" applyAlignment="1">
      <alignment/>
    </xf>
    <xf numFmtId="165" fontId="162" fillId="0" borderId="0" xfId="42" applyNumberFormat="1" applyFont="1" applyAlignment="1">
      <alignment horizontal="left"/>
    </xf>
    <xf numFmtId="43" fontId="27" fillId="33" borderId="0" xfId="42" applyFont="1" applyFill="1" applyBorder="1" applyAlignment="1">
      <alignment horizontal="right"/>
    </xf>
    <xf numFmtId="43" fontId="27" fillId="0" borderId="0" xfId="42" applyFont="1" applyAlignment="1">
      <alignment horizontal="center"/>
    </xf>
    <xf numFmtId="43" fontId="162" fillId="0" borderId="0" xfId="42" applyFont="1" applyAlignment="1">
      <alignment horizontal="center"/>
    </xf>
    <xf numFmtId="165" fontId="162" fillId="0" borderId="0" xfId="42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Alignment="1">
      <alignment/>
    </xf>
    <xf numFmtId="3" fontId="137" fillId="0" borderId="0" xfId="0" applyNumberFormat="1" applyFont="1" applyAlignment="1">
      <alignment horizontal="right"/>
    </xf>
    <xf numFmtId="0" fontId="163" fillId="0" borderId="0" xfId="0" applyFont="1" applyBorder="1" applyAlignment="1">
      <alignment vertical="center"/>
    </xf>
    <xf numFmtId="0" fontId="163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164" fillId="0" borderId="0" xfId="0" applyFont="1" applyAlignment="1">
      <alignment vertical="center"/>
    </xf>
    <xf numFmtId="165" fontId="29" fillId="0" borderId="0" xfId="42" applyNumberFormat="1" applyFont="1" applyBorder="1" applyAlignment="1">
      <alignment/>
    </xf>
    <xf numFmtId="0" fontId="27" fillId="0" borderId="0" xfId="0" applyFont="1" applyAlignment="1">
      <alignment/>
    </xf>
    <xf numFmtId="165" fontId="27" fillId="0" borderId="0" xfId="49" applyNumberFormat="1" applyFont="1" applyAlignment="1">
      <alignment horizontal="left"/>
    </xf>
    <xf numFmtId="43" fontId="27" fillId="0" borderId="0" xfId="49" applyFont="1" applyAlignment="1">
      <alignment/>
    </xf>
    <xf numFmtId="165" fontId="27" fillId="0" borderId="0" xfId="49" applyNumberFormat="1" applyFont="1" applyAlignment="1">
      <alignment/>
    </xf>
    <xf numFmtId="43" fontId="27" fillId="0" borderId="0" xfId="49" applyFont="1" applyAlignment="1">
      <alignment horizontal="left"/>
    </xf>
    <xf numFmtId="0" fontId="27" fillId="0" borderId="0" xfId="0" applyFont="1" applyAlignment="1">
      <alignment horizontal="center"/>
    </xf>
    <xf numFmtId="165" fontId="27" fillId="0" borderId="0" xfId="49" applyNumberFormat="1" applyFont="1" applyAlignment="1">
      <alignment horizontal="center"/>
    </xf>
    <xf numFmtId="43" fontId="27" fillId="0" borderId="0" xfId="49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/>
    </xf>
    <xf numFmtId="165" fontId="28" fillId="0" borderId="0" xfId="49" applyNumberFormat="1" applyFont="1" applyAlignment="1">
      <alignment horizontal="right"/>
    </xf>
    <xf numFmtId="165" fontId="28" fillId="0" borderId="0" xfId="49" applyNumberFormat="1" applyFont="1" applyAlignment="1">
      <alignment/>
    </xf>
    <xf numFmtId="0" fontId="28" fillId="0" borderId="0" xfId="0" applyFont="1" applyAlignment="1">
      <alignment/>
    </xf>
    <xf numFmtId="43" fontId="28" fillId="0" borderId="0" xfId="49" applyFont="1" applyAlignment="1">
      <alignment horizontal="right"/>
    </xf>
    <xf numFmtId="165" fontId="27" fillId="0" borderId="11" xfId="49" applyNumberFormat="1" applyFont="1" applyBorder="1" applyAlignment="1">
      <alignment/>
    </xf>
    <xf numFmtId="43" fontId="27" fillId="0" borderId="11" xfId="49" applyFont="1" applyBorder="1" applyAlignment="1">
      <alignment/>
    </xf>
    <xf numFmtId="0" fontId="27" fillId="0" borderId="11" xfId="0" applyFont="1" applyBorder="1" applyAlignment="1">
      <alignment/>
    </xf>
    <xf numFmtId="43" fontId="28" fillId="0" borderId="0" xfId="49" applyFont="1" applyAlignment="1">
      <alignment/>
    </xf>
    <xf numFmtId="165" fontId="27" fillId="0" borderId="0" xfId="49" applyNumberFormat="1" applyFont="1" applyAlignment="1">
      <alignment horizontal="right"/>
    </xf>
    <xf numFmtId="43" fontId="27" fillId="0" borderId="0" xfId="49" applyFont="1" applyAlignment="1">
      <alignment horizontal="right"/>
    </xf>
    <xf numFmtId="0" fontId="27" fillId="0" borderId="0" xfId="0" applyFont="1" applyAlignment="1">
      <alignment vertical="center"/>
    </xf>
    <xf numFmtId="164" fontId="29" fillId="0" borderId="0" xfId="49" applyNumberFormat="1" applyFont="1" applyAlignment="1">
      <alignment vertical="center"/>
    </xf>
    <xf numFmtId="165" fontId="27" fillId="0" borderId="0" xfId="49" applyNumberFormat="1" applyFont="1" applyAlignment="1">
      <alignment vertical="center"/>
    </xf>
    <xf numFmtId="43" fontId="27" fillId="0" borderId="0" xfId="49" applyFont="1" applyAlignment="1">
      <alignment vertical="center"/>
    </xf>
    <xf numFmtId="43" fontId="29" fillId="0" borderId="0" xfId="49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164" fontId="28" fillId="0" borderId="0" xfId="49" applyNumberFormat="1" applyFont="1" applyAlignment="1">
      <alignment vertical="center"/>
    </xf>
    <xf numFmtId="165" fontId="27" fillId="0" borderId="0" xfId="49" applyNumberFormat="1" applyFont="1" applyAlignment="1">
      <alignment horizontal="right" vertical="center"/>
    </xf>
    <xf numFmtId="43" fontId="27" fillId="0" borderId="0" xfId="49" applyFont="1" applyAlignment="1">
      <alignment horizontal="right" vertical="center"/>
    </xf>
    <xf numFmtId="10" fontId="28" fillId="0" borderId="0" xfId="86" applyNumberFormat="1" applyFont="1" applyBorder="1" applyAlignment="1">
      <alignment/>
    </xf>
    <xf numFmtId="43" fontId="27" fillId="0" borderId="0" xfId="49" applyFont="1" applyAlignment="1">
      <alignment horizontal="center" vertical="center"/>
    </xf>
    <xf numFmtId="43" fontId="28" fillId="0" borderId="0" xfId="49" applyFont="1" applyAlignment="1">
      <alignment horizontal="center"/>
    </xf>
    <xf numFmtId="164" fontId="27" fillId="0" borderId="0" xfId="49" applyNumberFormat="1" applyFont="1" applyAlignment="1">
      <alignment/>
    </xf>
    <xf numFmtId="165" fontId="29" fillId="0" borderId="0" xfId="49" applyNumberFormat="1" applyFont="1" applyAlignment="1">
      <alignment/>
    </xf>
    <xf numFmtId="43" fontId="29" fillId="0" borderId="0" xfId="49" applyFont="1" applyAlignment="1">
      <alignment/>
    </xf>
    <xf numFmtId="43" fontId="29" fillId="0" borderId="0" xfId="49" applyFont="1" applyAlignment="1">
      <alignment horizontal="right"/>
    </xf>
    <xf numFmtId="10" fontId="27" fillId="0" borderId="0" xfId="86" applyNumberFormat="1" applyFont="1" applyAlignment="1">
      <alignment/>
    </xf>
    <xf numFmtId="164" fontId="28" fillId="0" borderId="0" xfId="49" applyNumberFormat="1" applyFont="1" applyAlignment="1">
      <alignment/>
    </xf>
    <xf numFmtId="165" fontId="28" fillId="0" borderId="0" xfId="49" applyNumberFormat="1" applyFont="1" applyBorder="1" applyAlignment="1">
      <alignment horizontal="right"/>
    </xf>
    <xf numFmtId="43" fontId="28" fillId="0" borderId="0" xfId="49" applyFont="1" applyBorder="1" applyAlignment="1">
      <alignment horizontal="right"/>
    </xf>
    <xf numFmtId="10" fontId="27" fillId="0" borderId="0" xfId="86" applyNumberFormat="1" applyFont="1" applyBorder="1" applyAlignment="1">
      <alignment/>
    </xf>
    <xf numFmtId="43" fontId="29" fillId="0" borderId="0" xfId="49" applyFont="1" applyAlignment="1">
      <alignment vertical="center"/>
    </xf>
    <xf numFmtId="10" fontId="29" fillId="0" borderId="0" xfId="86" applyNumberFormat="1" applyFont="1" applyAlignment="1">
      <alignment vertical="center"/>
    </xf>
    <xf numFmtId="0" fontId="28" fillId="0" borderId="0" xfId="0" applyFont="1" applyAlignment="1">
      <alignment vertical="center"/>
    </xf>
    <xf numFmtId="164" fontId="27" fillId="0" borderId="0" xfId="49" applyNumberFormat="1" applyFont="1" applyAlignment="1">
      <alignment vertical="center"/>
    </xf>
    <xf numFmtId="165" fontId="29" fillId="0" borderId="0" xfId="49" applyNumberFormat="1" applyFont="1" applyAlignment="1">
      <alignment vertical="center"/>
    </xf>
    <xf numFmtId="43" fontId="29" fillId="0" borderId="0" xfId="49" applyFont="1" applyBorder="1" applyAlignment="1">
      <alignment vertical="center"/>
    </xf>
    <xf numFmtId="43" fontId="165" fillId="0" borderId="0" xfId="49" applyFont="1" applyAlignment="1">
      <alignment vertical="center"/>
    </xf>
    <xf numFmtId="10" fontId="28" fillId="0" borderId="0" xfId="86" applyNumberFormat="1" applyFont="1" applyBorder="1" applyAlignment="1">
      <alignment vertical="center"/>
    </xf>
    <xf numFmtId="43" fontId="162" fillId="0" borderId="0" xfId="49" applyFont="1" applyAlignment="1">
      <alignment vertical="center"/>
    </xf>
    <xf numFmtId="165" fontId="162" fillId="0" borderId="0" xfId="49" applyNumberFormat="1" applyFont="1" applyBorder="1" applyAlignment="1">
      <alignment vertical="center"/>
    </xf>
    <xf numFmtId="43" fontId="27" fillId="0" borderId="0" xfId="42" applyFont="1" applyBorder="1" applyAlignment="1">
      <alignment vertical="center"/>
    </xf>
    <xf numFmtId="43" fontId="166" fillId="0" borderId="0" xfId="49" applyFont="1" applyAlignment="1">
      <alignment vertical="center"/>
    </xf>
    <xf numFmtId="10" fontId="28" fillId="0" borderId="0" xfId="86" applyNumberFormat="1" applyFont="1" applyBorder="1" applyAlignment="1">
      <alignment horizontal="right" vertical="center"/>
    </xf>
    <xf numFmtId="43" fontId="27" fillId="0" borderId="0" xfId="42" applyFont="1" applyAlignment="1">
      <alignment vertical="center"/>
    </xf>
    <xf numFmtId="10" fontId="38" fillId="0" borderId="0" xfId="86" applyNumberFormat="1" applyFont="1" applyAlignment="1">
      <alignment horizontal="center" vertical="center"/>
    </xf>
    <xf numFmtId="164" fontId="27" fillId="0" borderId="0" xfId="49" applyNumberFormat="1" applyFont="1" applyAlignment="1">
      <alignment horizontal="right" vertical="center"/>
    </xf>
    <xf numFmtId="165" fontId="29" fillId="0" borderId="0" xfId="49" applyNumberFormat="1" applyFont="1" applyBorder="1" applyAlignment="1">
      <alignment vertical="center"/>
    </xf>
    <xf numFmtId="43" fontId="29" fillId="0" borderId="0" xfId="42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0" fontId="27" fillId="0" borderId="0" xfId="86" applyNumberFormat="1" applyFont="1" applyAlignment="1">
      <alignment horizontal="center" vertical="center"/>
    </xf>
    <xf numFmtId="164" fontId="29" fillId="0" borderId="0" xfId="49" applyNumberFormat="1" applyFont="1" applyAlignment="1">
      <alignment horizontal="right"/>
    </xf>
    <xf numFmtId="43" fontId="29" fillId="0" borderId="0" xfId="49" applyFont="1" applyBorder="1" applyAlignment="1">
      <alignment/>
    </xf>
    <xf numFmtId="43" fontId="29" fillId="0" borderId="0" xfId="42" applyFont="1" applyBorder="1" applyAlignment="1">
      <alignment/>
    </xf>
    <xf numFmtId="0" fontId="39" fillId="0" borderId="0" xfId="0" applyFont="1" applyBorder="1" applyAlignment="1">
      <alignment/>
    </xf>
    <xf numFmtId="10" fontId="28" fillId="0" borderId="0" xfId="86" applyNumberFormat="1" applyFont="1" applyAlignment="1">
      <alignment horizontal="center"/>
    </xf>
    <xf numFmtId="164" fontId="29" fillId="0" borderId="0" xfId="49" applyNumberFormat="1" applyFont="1" applyAlignment="1">
      <alignment horizontal="right" vertical="center"/>
    </xf>
    <xf numFmtId="165" fontId="29" fillId="0" borderId="0" xfId="49" applyNumberFormat="1" applyFont="1" applyAlignment="1">
      <alignment horizontal="right" vertical="center"/>
    </xf>
    <xf numFmtId="43" fontId="29" fillId="0" borderId="0" xfId="49" applyFont="1" applyAlignment="1">
      <alignment horizontal="right" vertical="center"/>
    </xf>
    <xf numFmtId="43" fontId="29" fillId="0" borderId="0" xfId="42" applyFont="1" applyAlignment="1">
      <alignment horizontal="right" vertical="center"/>
    </xf>
    <xf numFmtId="10" fontId="29" fillId="0" borderId="0" xfId="86" applyNumberFormat="1" applyFont="1" applyAlignment="1">
      <alignment horizontal="right" vertical="center"/>
    </xf>
    <xf numFmtId="0" fontId="167" fillId="0" borderId="0" xfId="0" applyFont="1" applyAlignment="1">
      <alignment vertical="center"/>
    </xf>
    <xf numFmtId="0" fontId="167" fillId="0" borderId="0" xfId="0" applyFont="1" applyAlignment="1">
      <alignment horizontal="right" vertical="center"/>
    </xf>
    <xf numFmtId="165" fontId="162" fillId="0" borderId="0" xfId="49" applyNumberFormat="1" applyFont="1" applyAlignment="1">
      <alignment horizontal="right" vertical="center"/>
    </xf>
    <xf numFmtId="43" fontId="162" fillId="0" borderId="0" xfId="49" applyFont="1" applyAlignment="1">
      <alignment horizontal="right" vertical="center"/>
    </xf>
    <xf numFmtId="165" fontId="167" fillId="0" borderId="0" xfId="49" applyNumberFormat="1" applyFont="1" applyAlignment="1">
      <alignment horizontal="right" vertical="center"/>
    </xf>
    <xf numFmtId="43" fontId="167" fillId="0" borderId="0" xfId="49" applyFont="1" applyAlignment="1">
      <alignment horizontal="right" vertical="center"/>
    </xf>
    <xf numFmtId="0" fontId="168" fillId="0" borderId="0" xfId="0" applyFont="1" applyAlignment="1">
      <alignment vertical="center"/>
    </xf>
    <xf numFmtId="164" fontId="168" fillId="0" borderId="0" xfId="49" applyNumberFormat="1" applyFont="1" applyAlignment="1">
      <alignment vertical="center"/>
    </xf>
    <xf numFmtId="165" fontId="169" fillId="0" borderId="0" xfId="49" applyNumberFormat="1" applyFont="1" applyAlignment="1">
      <alignment vertical="center"/>
    </xf>
    <xf numFmtId="43" fontId="168" fillId="0" borderId="0" xfId="49" applyFont="1" applyAlignment="1">
      <alignment vertical="center"/>
    </xf>
    <xf numFmtId="43" fontId="170" fillId="0" borderId="11" xfId="42" applyFont="1" applyBorder="1" applyAlignment="1">
      <alignment vertical="center"/>
    </xf>
    <xf numFmtId="165" fontId="168" fillId="0" borderId="11" xfId="49" applyNumberFormat="1" applyFont="1" applyBorder="1" applyAlignment="1">
      <alignment vertical="center"/>
    </xf>
    <xf numFmtId="10" fontId="169" fillId="0" borderId="0" xfId="86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4" fontId="40" fillId="0" borderId="0" xfId="49" applyNumberFormat="1" applyFont="1" applyAlignment="1">
      <alignment horizontal="right" vertical="center"/>
    </xf>
    <xf numFmtId="165" fontId="40" fillId="0" borderId="0" xfId="49" applyNumberFormat="1" applyFont="1" applyAlignment="1">
      <alignment horizontal="right" vertical="center"/>
    </xf>
    <xf numFmtId="43" fontId="40" fillId="0" borderId="0" xfId="49" applyFont="1" applyAlignment="1">
      <alignment horizontal="right" vertical="center"/>
    </xf>
    <xf numFmtId="0" fontId="41" fillId="0" borderId="0" xfId="0" applyFont="1" applyAlignment="1">
      <alignment vertical="center"/>
    </xf>
    <xf numFmtId="164" fontId="41" fillId="0" borderId="0" xfId="49" applyNumberFormat="1" applyFont="1" applyAlignment="1">
      <alignment vertical="center"/>
    </xf>
    <xf numFmtId="165" fontId="41" fillId="0" borderId="0" xfId="49" applyNumberFormat="1" applyFont="1" applyAlignment="1">
      <alignment vertical="center"/>
    </xf>
    <xf numFmtId="43" fontId="41" fillId="0" borderId="0" xfId="49" applyFont="1" applyAlignment="1">
      <alignment vertical="center"/>
    </xf>
    <xf numFmtId="10" fontId="41" fillId="0" borderId="0" xfId="85" applyNumberFormat="1" applyFont="1" applyAlignment="1">
      <alignment vertical="center"/>
    </xf>
    <xf numFmtId="0" fontId="41" fillId="0" borderId="0" xfId="0" applyFont="1" applyAlignment="1">
      <alignment/>
    </xf>
    <xf numFmtId="164" fontId="42" fillId="0" borderId="0" xfId="49" applyNumberFormat="1" applyFont="1" applyAlignment="1">
      <alignment/>
    </xf>
    <xf numFmtId="165" fontId="42" fillId="0" borderId="0" xfId="49" applyNumberFormat="1" applyFont="1" applyAlignment="1">
      <alignment/>
    </xf>
    <xf numFmtId="43" fontId="42" fillId="0" borderId="0" xfId="49" applyFont="1" applyAlignment="1">
      <alignment/>
    </xf>
    <xf numFmtId="10" fontId="42" fillId="0" borderId="0" xfId="85" applyNumberFormat="1" applyFont="1" applyAlignment="1">
      <alignment/>
    </xf>
    <xf numFmtId="0" fontId="43" fillId="0" borderId="0" xfId="0" applyFont="1" applyAlignment="1">
      <alignment/>
    </xf>
    <xf numFmtId="165" fontId="43" fillId="0" borderId="0" xfId="49" applyNumberFormat="1" applyFont="1" applyAlignment="1">
      <alignment/>
    </xf>
    <xf numFmtId="43" fontId="43" fillId="0" borderId="0" xfId="49" applyFont="1" applyAlignment="1">
      <alignment/>
    </xf>
    <xf numFmtId="10" fontId="135" fillId="0" borderId="0" xfId="85" applyNumberFormat="1" applyFont="1" applyAlignment="1">
      <alignment vertical="center"/>
    </xf>
    <xf numFmtId="0" fontId="0" fillId="0" borderId="0" xfId="0" applyAlignment="1">
      <alignment/>
    </xf>
    <xf numFmtId="3" fontId="151" fillId="0" borderId="0" xfId="0" applyNumberFormat="1" applyFont="1" applyAlignment="1">
      <alignment/>
    </xf>
    <xf numFmtId="165" fontId="151" fillId="0" borderId="0" xfId="42" applyNumberFormat="1" applyFont="1" applyAlignment="1">
      <alignment horizontal="right"/>
    </xf>
    <xf numFmtId="1" fontId="151" fillId="0" borderId="0" xfId="0" applyNumberFormat="1" applyFont="1" applyAlignment="1">
      <alignment/>
    </xf>
    <xf numFmtId="165" fontId="151" fillId="0" borderId="0" xfId="42" applyNumberFormat="1" applyFont="1" applyAlignment="1">
      <alignment/>
    </xf>
    <xf numFmtId="164" fontId="151" fillId="0" borderId="0" xfId="42" applyNumberFormat="1" applyFont="1" applyAlignment="1">
      <alignment/>
    </xf>
    <xf numFmtId="43" fontId="151" fillId="0" borderId="0" xfId="42" applyFont="1" applyAlignment="1">
      <alignment/>
    </xf>
    <xf numFmtId="0" fontId="162" fillId="0" borderId="0" xfId="0" applyFont="1" applyAlignment="1">
      <alignment/>
    </xf>
    <xf numFmtId="0" fontId="3" fillId="0" borderId="0" xfId="80">
      <alignment/>
      <protection/>
    </xf>
    <xf numFmtId="0" fontId="36" fillId="0" borderId="0" xfId="80" applyFont="1">
      <alignment/>
      <protection/>
    </xf>
    <xf numFmtId="0" fontId="37" fillId="0" borderId="0" xfId="80" applyFont="1">
      <alignment/>
      <protection/>
    </xf>
    <xf numFmtId="43" fontId="27" fillId="0" borderId="0" xfId="42" applyFont="1" applyFill="1" applyBorder="1" applyAlignment="1">
      <alignment horizontal="right" vertical="top" wrapText="1"/>
    </xf>
    <xf numFmtId="43" fontId="162" fillId="0" borderId="0" xfId="42" applyFont="1" applyAlignment="1">
      <alignment horizontal="right"/>
    </xf>
    <xf numFmtId="43" fontId="129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0" fontId="0" fillId="0" borderId="0" xfId="0" applyFont="1" applyBorder="1" applyAlignment="1">
      <alignment vertical="center"/>
    </xf>
    <xf numFmtId="172" fontId="153" fillId="0" borderId="0" xfId="0" applyNumberFormat="1" applyFont="1" applyAlignment="1">
      <alignment/>
    </xf>
    <xf numFmtId="165" fontId="0" fillId="0" borderId="0" xfId="42" applyNumberFormat="1" applyFont="1" applyAlignment="1">
      <alignment horizontal="right"/>
    </xf>
    <xf numFmtId="0" fontId="44" fillId="0" borderId="0" xfId="80" applyFont="1">
      <alignment/>
      <protection/>
    </xf>
    <xf numFmtId="164" fontId="45" fillId="0" borderId="0" xfId="42" applyNumberFormat="1" applyFont="1" applyBorder="1" applyAlignment="1">
      <alignment/>
    </xf>
    <xf numFmtId="165" fontId="45" fillId="0" borderId="0" xfId="42" applyNumberFormat="1" applyFont="1" applyBorder="1" applyAlignment="1">
      <alignment horizontal="right"/>
    </xf>
    <xf numFmtId="165" fontId="45" fillId="0" borderId="0" xfId="42" applyNumberFormat="1" applyFont="1" applyBorder="1" applyAlignment="1">
      <alignment/>
    </xf>
    <xf numFmtId="43" fontId="45" fillId="0" borderId="0" xfId="42" applyFont="1" applyBorder="1" applyAlignment="1">
      <alignment horizontal="right"/>
    </xf>
    <xf numFmtId="43" fontId="45" fillId="0" borderId="0" xfId="42" applyFont="1" applyBorder="1" applyAlignment="1">
      <alignment horizontal="center"/>
    </xf>
    <xf numFmtId="165" fontId="46" fillId="0" borderId="0" xfId="42" applyNumberFormat="1" applyFont="1" applyBorder="1" applyAlignment="1">
      <alignment/>
    </xf>
    <xf numFmtId="165" fontId="45" fillId="0" borderId="0" xfId="42" applyNumberFormat="1" applyFont="1" applyBorder="1" applyAlignment="1">
      <alignment horizontal="center"/>
    </xf>
    <xf numFmtId="164" fontId="47" fillId="0" borderId="0" xfId="42" applyNumberFormat="1" applyFont="1" applyBorder="1" applyAlignment="1">
      <alignment horizontal="center"/>
    </xf>
    <xf numFmtId="165" fontId="47" fillId="0" borderId="0" xfId="42" applyNumberFormat="1" applyFont="1" applyBorder="1" applyAlignment="1">
      <alignment horizontal="right"/>
    </xf>
    <xf numFmtId="165" fontId="47" fillId="0" borderId="0" xfId="42" applyNumberFormat="1" applyFont="1" applyBorder="1" applyAlignment="1">
      <alignment horizontal="center"/>
    </xf>
    <xf numFmtId="43" fontId="47" fillId="0" borderId="0" xfId="42" applyFont="1" applyBorder="1" applyAlignment="1">
      <alignment horizontal="right"/>
    </xf>
    <xf numFmtId="43" fontId="47" fillId="0" borderId="0" xfId="42" applyFont="1" applyBorder="1" applyAlignment="1">
      <alignment horizontal="center"/>
    </xf>
    <xf numFmtId="0" fontId="48" fillId="0" borderId="0" xfId="80" applyFont="1">
      <alignment/>
      <protection/>
    </xf>
    <xf numFmtId="164" fontId="47" fillId="33" borderId="0" xfId="42" applyNumberFormat="1" applyFont="1" applyFill="1" applyBorder="1" applyAlignment="1">
      <alignment horizontal="right"/>
    </xf>
    <xf numFmtId="165" fontId="47" fillId="33" borderId="0" xfId="42" applyNumberFormat="1" applyFont="1" applyFill="1" applyBorder="1" applyAlignment="1">
      <alignment horizontal="right"/>
    </xf>
    <xf numFmtId="164" fontId="47" fillId="33" borderId="0" xfId="42" applyNumberFormat="1" applyFont="1" applyFill="1" applyBorder="1" applyAlignment="1">
      <alignment horizontal="center"/>
    </xf>
    <xf numFmtId="165" fontId="47" fillId="33" borderId="0" xfId="42" applyNumberFormat="1" applyFont="1" applyFill="1" applyBorder="1" applyAlignment="1">
      <alignment horizontal="center"/>
    </xf>
    <xf numFmtId="43" fontId="46" fillId="0" borderId="0" xfId="42" applyFont="1" applyBorder="1" applyAlignment="1">
      <alignment horizontal="right"/>
    </xf>
    <xf numFmtId="49" fontId="171" fillId="0" borderId="0" xfId="0" applyNumberFormat="1" applyFont="1" applyAlignment="1">
      <alignment/>
    </xf>
    <xf numFmtId="1" fontId="171" fillId="0" borderId="0" xfId="0" applyNumberFormat="1" applyFont="1" applyAlignment="1">
      <alignment/>
    </xf>
    <xf numFmtId="165" fontId="171" fillId="0" borderId="0" xfId="42" applyNumberFormat="1" applyFont="1" applyAlignment="1">
      <alignment horizontal="right"/>
    </xf>
    <xf numFmtId="165" fontId="171" fillId="0" borderId="0" xfId="42" applyNumberFormat="1" applyFont="1" applyAlignment="1">
      <alignment/>
    </xf>
    <xf numFmtId="43" fontId="171" fillId="0" borderId="0" xfId="42" applyFont="1" applyAlignment="1">
      <alignment horizontal="right"/>
    </xf>
    <xf numFmtId="43" fontId="171" fillId="0" borderId="0" xfId="42" applyFont="1" applyAlignment="1">
      <alignment/>
    </xf>
    <xf numFmtId="164" fontId="171" fillId="0" borderId="0" xfId="42" applyNumberFormat="1" applyFont="1" applyFill="1" applyBorder="1" applyAlignment="1">
      <alignment horizontal="center" vertical="top" shrinkToFit="1"/>
    </xf>
    <xf numFmtId="165" fontId="45" fillId="0" borderId="0" xfId="42" applyNumberFormat="1" applyFont="1" applyFill="1" applyBorder="1" applyAlignment="1">
      <alignment horizontal="right" vertical="top" wrapText="1"/>
    </xf>
    <xf numFmtId="165" fontId="171" fillId="0" borderId="0" xfId="42" applyNumberFormat="1" applyFont="1" applyFill="1" applyBorder="1" applyAlignment="1">
      <alignment horizontal="center" vertical="top" shrinkToFit="1"/>
    </xf>
    <xf numFmtId="43" fontId="45" fillId="0" borderId="0" xfId="42" applyFont="1" applyFill="1" applyBorder="1" applyAlignment="1">
      <alignment horizontal="right" vertical="top" wrapText="1"/>
    </xf>
    <xf numFmtId="43" fontId="171" fillId="0" borderId="0" xfId="42" applyFont="1" applyBorder="1" applyAlignment="1">
      <alignment horizontal="right"/>
    </xf>
    <xf numFmtId="164" fontId="166" fillId="0" borderId="0" xfId="42" applyNumberFormat="1" applyFont="1" applyAlignment="1">
      <alignment/>
    </xf>
    <xf numFmtId="165" fontId="166" fillId="0" borderId="0" xfId="42" applyNumberFormat="1" applyFont="1" applyAlignment="1">
      <alignment horizontal="right"/>
    </xf>
    <xf numFmtId="165" fontId="166" fillId="0" borderId="0" xfId="42" applyNumberFormat="1" applyFont="1" applyAlignment="1">
      <alignment/>
    </xf>
    <xf numFmtId="43" fontId="166" fillId="0" borderId="0" xfId="42" applyFont="1" applyAlignment="1">
      <alignment horizontal="right"/>
    </xf>
    <xf numFmtId="43" fontId="166" fillId="0" borderId="0" xfId="42" applyFont="1" applyAlignment="1">
      <alignment/>
    </xf>
    <xf numFmtId="43" fontId="45" fillId="33" borderId="0" xfId="42" applyFont="1" applyFill="1" applyBorder="1" applyAlignment="1">
      <alignment horizontal="right"/>
    </xf>
    <xf numFmtId="43" fontId="45" fillId="0" borderId="0" xfId="42" applyFont="1" applyAlignment="1">
      <alignment horizontal="center"/>
    </xf>
    <xf numFmtId="43" fontId="166" fillId="0" borderId="0" xfId="42" applyFont="1" applyAlignment="1">
      <alignment horizontal="center"/>
    </xf>
    <xf numFmtId="49" fontId="172" fillId="0" borderId="0" xfId="0" applyNumberFormat="1" applyFont="1" applyAlignment="1">
      <alignment/>
    </xf>
    <xf numFmtId="1" fontId="172" fillId="0" borderId="0" xfId="0" applyNumberFormat="1" applyFont="1" applyAlignment="1">
      <alignment/>
    </xf>
    <xf numFmtId="165" fontId="172" fillId="0" borderId="0" xfId="42" applyNumberFormat="1" applyFont="1" applyAlignment="1">
      <alignment horizontal="right"/>
    </xf>
    <xf numFmtId="165" fontId="172" fillId="0" borderId="0" xfId="42" applyNumberFormat="1" applyFont="1" applyAlignment="1">
      <alignment/>
    </xf>
    <xf numFmtId="43" fontId="172" fillId="0" borderId="0" xfId="42" applyFont="1" applyAlignment="1">
      <alignment horizontal="right"/>
    </xf>
    <xf numFmtId="0" fontId="173" fillId="0" borderId="0" xfId="0" applyFont="1" applyAlignment="1">
      <alignment/>
    </xf>
    <xf numFmtId="3" fontId="172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50" fillId="0" borderId="0" xfId="42" applyNumberFormat="1" applyFont="1" applyAlignment="1">
      <alignment horizontal="left" vertical="center"/>
    </xf>
    <xf numFmtId="165" fontId="50" fillId="0" borderId="0" xfId="49" applyNumberFormat="1" applyFont="1" applyAlignment="1">
      <alignment vertical="center"/>
    </xf>
    <xf numFmtId="166" fontId="50" fillId="0" borderId="0" xfId="49" applyNumberFormat="1" applyFont="1" applyAlignment="1">
      <alignment horizontal="right" vertical="center"/>
    </xf>
    <xf numFmtId="166" fontId="50" fillId="0" borderId="0" xfId="0" applyNumberFormat="1" applyFont="1" applyAlignment="1">
      <alignment horizontal="center" vertical="center"/>
    </xf>
    <xf numFmtId="164" fontId="50" fillId="0" borderId="11" xfId="42" applyNumberFormat="1" applyFont="1" applyBorder="1" applyAlignment="1">
      <alignment horizontal="left" vertical="center"/>
    </xf>
    <xf numFmtId="165" fontId="50" fillId="0" borderId="11" xfId="49" applyNumberFormat="1" applyFont="1" applyBorder="1" applyAlignment="1">
      <alignment vertical="center"/>
    </xf>
    <xf numFmtId="166" fontId="50" fillId="0" borderId="11" xfId="49" applyNumberFormat="1" applyFont="1" applyBorder="1" applyAlignment="1">
      <alignment horizontal="right" vertical="center"/>
    </xf>
    <xf numFmtId="164" fontId="50" fillId="0" borderId="10" xfId="42" applyNumberFormat="1" applyFont="1" applyBorder="1" applyAlignment="1">
      <alignment vertical="center"/>
    </xf>
    <xf numFmtId="165" fontId="50" fillId="0" borderId="10" xfId="49" applyNumberFormat="1" applyFont="1" applyBorder="1" applyAlignment="1">
      <alignment vertical="center"/>
    </xf>
    <xf numFmtId="166" fontId="50" fillId="0" borderId="10" xfId="49" applyNumberFormat="1" applyFont="1" applyBorder="1" applyAlignment="1">
      <alignment horizontal="right" vertical="center"/>
    </xf>
    <xf numFmtId="166" fontId="50" fillId="0" borderId="10" xfId="0" applyNumberFormat="1" applyFont="1" applyBorder="1" applyAlignment="1">
      <alignment horizontal="center" vertical="center"/>
    </xf>
    <xf numFmtId="164" fontId="50" fillId="0" borderId="0" xfId="49" applyNumberFormat="1" applyFont="1" applyAlignment="1">
      <alignment horizontal="left" vertical="center"/>
    </xf>
    <xf numFmtId="164" fontId="50" fillId="0" borderId="10" xfId="49" applyNumberFormat="1" applyFont="1" applyBorder="1" applyAlignment="1">
      <alignment vertical="center"/>
    </xf>
    <xf numFmtId="166" fontId="50" fillId="0" borderId="10" xfId="49" applyNumberFormat="1" applyFont="1" applyBorder="1" applyAlignment="1">
      <alignment vertical="center"/>
    </xf>
    <xf numFmtId="166" fontId="50" fillId="0" borderId="10" xfId="49" applyNumberFormat="1" applyFont="1" applyBorder="1" applyAlignment="1">
      <alignment horizontal="center" vertical="center"/>
    </xf>
    <xf numFmtId="165" fontId="50" fillId="0" borderId="10" xfId="42" applyNumberFormat="1" applyFont="1" applyBorder="1" applyAlignment="1">
      <alignment vertical="center"/>
    </xf>
    <xf numFmtId="173" fontId="50" fillId="0" borderId="10" xfId="42" applyNumberFormat="1" applyFont="1" applyBorder="1" applyAlignment="1">
      <alignment vertical="center"/>
    </xf>
    <xf numFmtId="164" fontId="50" fillId="0" borderId="0" xfId="49" applyNumberFormat="1" applyFont="1" applyBorder="1" applyAlignment="1">
      <alignment vertical="center"/>
    </xf>
    <xf numFmtId="165" fontId="50" fillId="0" borderId="0" xfId="49" applyNumberFormat="1" applyFont="1" applyBorder="1" applyAlignment="1">
      <alignment vertical="center"/>
    </xf>
    <xf numFmtId="166" fontId="50" fillId="0" borderId="0" xfId="49" applyNumberFormat="1" applyFont="1" applyBorder="1" applyAlignment="1">
      <alignment horizontal="right" vertical="center"/>
    </xf>
    <xf numFmtId="166" fontId="50" fillId="0" borderId="0" xfId="0" applyNumberFormat="1" applyFont="1" applyBorder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164" fontId="50" fillId="0" borderId="11" xfId="49" applyNumberFormat="1" applyFont="1" applyBorder="1" applyAlignment="1">
      <alignment horizontal="left" vertical="center"/>
    </xf>
    <xf numFmtId="0" fontId="50" fillId="0" borderId="11" xfId="0" applyNumberFormat="1" applyFont="1" applyBorder="1" applyAlignment="1">
      <alignment horizontal="center" vertical="center"/>
    </xf>
    <xf numFmtId="164" fontId="50" fillId="0" borderId="11" xfId="49" applyNumberFormat="1" applyFont="1" applyBorder="1" applyAlignment="1">
      <alignment vertical="center"/>
    </xf>
    <xf numFmtId="0" fontId="50" fillId="0" borderId="11" xfId="49" applyNumberFormat="1" applyFont="1" applyBorder="1" applyAlignment="1">
      <alignment horizontal="center" vertical="center"/>
    </xf>
    <xf numFmtId="166" fontId="52" fillId="0" borderId="0" xfId="49" applyNumberFormat="1" applyFont="1" applyBorder="1" applyAlignment="1">
      <alignment horizontal="right" vertical="center"/>
    </xf>
    <xf numFmtId="166" fontId="50" fillId="0" borderId="11" xfId="49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166" fontId="50" fillId="0" borderId="0" xfId="49" applyNumberFormat="1" applyFont="1" applyBorder="1" applyAlignment="1">
      <alignment vertical="center"/>
    </xf>
    <xf numFmtId="165" fontId="51" fillId="0" borderId="0" xfId="49" applyNumberFormat="1" applyFont="1" applyBorder="1" applyAlignment="1">
      <alignment vertical="center"/>
    </xf>
    <xf numFmtId="164" fontId="52" fillId="0" borderId="0" xfId="49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164" fontId="50" fillId="0" borderId="0" xfId="49" applyNumberFormat="1" applyFont="1" applyBorder="1" applyAlignment="1">
      <alignment horizontal="right" vertical="center"/>
    </xf>
    <xf numFmtId="165" fontId="50" fillId="0" borderId="0" xfId="49" applyNumberFormat="1" applyFont="1" applyBorder="1" applyAlignment="1">
      <alignment horizontal="right" vertical="center"/>
    </xf>
    <xf numFmtId="10" fontId="50" fillId="0" borderId="0" xfId="86" applyNumberFormat="1" applyFont="1" applyBorder="1" applyAlignment="1">
      <alignment horizontal="right" vertical="center"/>
    </xf>
    <xf numFmtId="165" fontId="52" fillId="0" borderId="0" xfId="49" applyNumberFormat="1" applyFont="1" applyBorder="1" applyAlignment="1">
      <alignment horizontal="right" vertical="center"/>
    </xf>
    <xf numFmtId="10" fontId="52" fillId="0" borderId="0" xfId="86" applyNumberFormat="1" applyFont="1" applyBorder="1" applyAlignment="1">
      <alignment horizontal="right" vertical="center"/>
    </xf>
    <xf numFmtId="165" fontId="52" fillId="0" borderId="0" xfId="42" applyNumberFormat="1" applyFont="1" applyBorder="1" applyAlignment="1">
      <alignment horizontal="right" vertical="center"/>
    </xf>
    <xf numFmtId="43" fontId="52" fillId="0" borderId="0" xfId="49" applyFont="1" applyBorder="1" applyAlignment="1">
      <alignment horizontal="right" vertical="center"/>
    </xf>
    <xf numFmtId="10" fontId="50" fillId="0" borderId="0" xfId="86" applyNumberFormat="1" applyFont="1" applyAlignment="1">
      <alignment vertical="center"/>
    </xf>
    <xf numFmtId="49" fontId="174" fillId="0" borderId="0" xfId="0" applyNumberFormat="1" applyFont="1" applyAlignment="1">
      <alignment/>
    </xf>
    <xf numFmtId="164" fontId="148" fillId="0" borderId="0" xfId="42" applyNumberFormat="1" applyFont="1" applyAlignment="1">
      <alignment/>
    </xf>
    <xf numFmtId="165" fontId="148" fillId="0" borderId="0" xfId="42" applyNumberFormat="1" applyFont="1" applyAlignment="1">
      <alignment/>
    </xf>
    <xf numFmtId="165" fontId="148" fillId="0" borderId="0" xfId="42" applyNumberFormat="1" applyFont="1" applyAlignment="1">
      <alignment/>
    </xf>
    <xf numFmtId="43" fontId="148" fillId="0" borderId="0" xfId="42" applyFont="1" applyAlignment="1">
      <alignment/>
    </xf>
    <xf numFmtId="164" fontId="175" fillId="0" borderId="0" xfId="42" applyNumberFormat="1" applyFont="1" applyAlignment="1">
      <alignment/>
    </xf>
    <xf numFmtId="164" fontId="44" fillId="0" borderId="0" xfId="42" applyNumberFormat="1" applyFont="1" applyBorder="1" applyAlignment="1">
      <alignment/>
    </xf>
    <xf numFmtId="165" fontId="44" fillId="0" borderId="0" xfId="42" applyNumberFormat="1" applyFont="1" applyBorder="1" applyAlignment="1">
      <alignment horizontal="right"/>
    </xf>
    <xf numFmtId="165" fontId="44" fillId="0" borderId="0" xfId="42" applyNumberFormat="1" applyFont="1" applyBorder="1" applyAlignment="1">
      <alignment/>
    </xf>
    <xf numFmtId="43" fontId="44" fillId="0" borderId="0" xfId="42" applyFont="1" applyBorder="1" applyAlignment="1">
      <alignment horizontal="right"/>
    </xf>
    <xf numFmtId="43" fontId="44" fillId="0" borderId="0" xfId="42" applyFont="1" applyBorder="1" applyAlignment="1">
      <alignment horizontal="center"/>
    </xf>
    <xf numFmtId="165" fontId="53" fillId="0" borderId="0" xfId="42" applyNumberFormat="1" applyFont="1" applyBorder="1" applyAlignment="1">
      <alignment/>
    </xf>
    <xf numFmtId="165" fontId="44" fillId="0" borderId="0" xfId="42" applyNumberFormat="1" applyFont="1" applyBorder="1" applyAlignment="1">
      <alignment horizontal="center"/>
    </xf>
    <xf numFmtId="164" fontId="48" fillId="0" borderId="0" xfId="42" applyNumberFormat="1" applyFont="1" applyBorder="1" applyAlignment="1">
      <alignment horizontal="center"/>
    </xf>
    <xf numFmtId="165" fontId="48" fillId="0" borderId="0" xfId="42" applyNumberFormat="1" applyFont="1" applyBorder="1" applyAlignment="1">
      <alignment horizontal="right"/>
    </xf>
    <xf numFmtId="165" fontId="48" fillId="0" borderId="0" xfId="42" applyNumberFormat="1" applyFont="1" applyBorder="1" applyAlignment="1">
      <alignment horizontal="center"/>
    </xf>
    <xf numFmtId="43" fontId="48" fillId="0" borderId="0" xfId="42" applyFont="1" applyBorder="1" applyAlignment="1">
      <alignment horizontal="right"/>
    </xf>
    <xf numFmtId="43" fontId="48" fillId="0" borderId="0" xfId="42" applyFont="1" applyBorder="1" applyAlignment="1">
      <alignment horizontal="center"/>
    </xf>
    <xf numFmtId="164" fontId="48" fillId="33" borderId="0" xfId="42" applyNumberFormat="1" applyFont="1" applyFill="1" applyBorder="1" applyAlignment="1">
      <alignment horizontal="right"/>
    </xf>
    <xf numFmtId="165" fontId="48" fillId="33" borderId="0" xfId="42" applyNumberFormat="1" applyFont="1" applyFill="1" applyBorder="1" applyAlignment="1">
      <alignment horizontal="right"/>
    </xf>
    <xf numFmtId="164" fontId="48" fillId="33" borderId="0" xfId="42" applyNumberFormat="1" applyFont="1" applyFill="1" applyBorder="1" applyAlignment="1">
      <alignment horizontal="center"/>
    </xf>
    <xf numFmtId="165" fontId="48" fillId="33" borderId="0" xfId="42" applyNumberFormat="1" applyFont="1" applyFill="1" applyBorder="1" applyAlignment="1">
      <alignment horizontal="center"/>
    </xf>
    <xf numFmtId="43" fontId="53" fillId="0" borderId="0" xfId="42" applyFont="1" applyBorder="1" applyAlignment="1">
      <alignment horizontal="right"/>
    </xf>
    <xf numFmtId="164" fontId="173" fillId="0" borderId="0" xfId="42" applyNumberFormat="1" applyFont="1" applyAlignment="1">
      <alignment horizontal="right"/>
    </xf>
    <xf numFmtId="164" fontId="172" fillId="0" borderId="0" xfId="42" applyNumberFormat="1" applyFont="1" applyAlignment="1">
      <alignment horizontal="right"/>
    </xf>
    <xf numFmtId="164" fontId="172" fillId="0" borderId="0" xfId="42" applyNumberFormat="1" applyFont="1" applyFill="1" applyBorder="1" applyAlignment="1">
      <alignment horizontal="center" vertical="top" shrinkToFit="1"/>
    </xf>
    <xf numFmtId="164" fontId="173" fillId="0" borderId="0" xfId="42" applyNumberFormat="1" applyFont="1" applyAlignment="1">
      <alignment/>
    </xf>
    <xf numFmtId="165" fontId="173" fillId="0" borderId="0" xfId="42" applyNumberFormat="1" applyFont="1" applyAlignment="1">
      <alignment horizontal="right"/>
    </xf>
    <xf numFmtId="165" fontId="173" fillId="0" borderId="0" xfId="42" applyNumberFormat="1" applyFont="1" applyAlignment="1">
      <alignment/>
    </xf>
    <xf numFmtId="43" fontId="173" fillId="0" borderId="0" xfId="42" applyFont="1" applyAlignment="1">
      <alignment horizontal="right"/>
    </xf>
    <xf numFmtId="43" fontId="173" fillId="0" borderId="0" xfId="42" applyFont="1" applyAlignment="1">
      <alignment/>
    </xf>
    <xf numFmtId="43" fontId="44" fillId="33" borderId="0" xfId="42" applyFont="1" applyFill="1" applyBorder="1" applyAlignment="1">
      <alignment horizontal="right"/>
    </xf>
    <xf numFmtId="43" fontId="44" fillId="0" borderId="0" xfId="42" applyFont="1" applyAlignment="1">
      <alignment horizontal="center"/>
    </xf>
    <xf numFmtId="43" fontId="173" fillId="0" borderId="0" xfId="42" applyFont="1" applyAlignment="1">
      <alignment horizontal="center"/>
    </xf>
    <xf numFmtId="164" fontId="44" fillId="33" borderId="0" xfId="42" applyNumberFormat="1" applyFont="1" applyFill="1" applyBorder="1" applyAlignment="1">
      <alignment horizontal="right"/>
    </xf>
    <xf numFmtId="165" fontId="44" fillId="33" borderId="0" xfId="42" applyNumberFormat="1" applyFont="1" applyFill="1" applyBorder="1" applyAlignment="1">
      <alignment horizontal="right"/>
    </xf>
    <xf numFmtId="164" fontId="44" fillId="33" borderId="0" xfId="42" applyNumberFormat="1" applyFont="1" applyFill="1" applyBorder="1" applyAlignment="1">
      <alignment horizontal="center"/>
    </xf>
    <xf numFmtId="165" fontId="44" fillId="33" borderId="0" xfId="42" applyNumberFormat="1" applyFont="1" applyFill="1" applyBorder="1" applyAlignment="1">
      <alignment horizontal="center"/>
    </xf>
    <xf numFmtId="43" fontId="27" fillId="0" borderId="0" xfId="49" applyFont="1" applyBorder="1" applyAlignment="1">
      <alignment vertical="center"/>
    </xf>
    <xf numFmtId="43" fontId="176" fillId="0" borderId="0" xfId="49" applyFont="1" applyAlignment="1">
      <alignment vertical="center"/>
    </xf>
    <xf numFmtId="43" fontId="176" fillId="0" borderId="0" xfId="49" applyFont="1" applyAlignment="1">
      <alignment horizontal="right" vertical="center"/>
    </xf>
    <xf numFmtId="165" fontId="176" fillId="0" borderId="0" xfId="49" applyNumberFormat="1" applyFont="1" applyBorder="1" applyAlignment="1">
      <alignment horizontal="right" vertical="center"/>
    </xf>
    <xf numFmtId="43" fontId="29" fillId="0" borderId="0" xfId="49" applyFont="1" applyBorder="1" applyAlignment="1">
      <alignment horizontal="right" vertical="center"/>
    </xf>
    <xf numFmtId="165" fontId="27" fillId="0" borderId="0" xfId="49" applyNumberFormat="1" applyFont="1" applyBorder="1" applyAlignment="1">
      <alignment horizontal="right" vertical="center"/>
    </xf>
    <xf numFmtId="43" fontId="27" fillId="0" borderId="0" xfId="49" applyFont="1" applyBorder="1" applyAlignment="1">
      <alignment horizontal="right" vertical="center"/>
    </xf>
    <xf numFmtId="43" fontId="27" fillId="0" borderId="0" xfId="49" applyFont="1" applyBorder="1" applyAlignment="1">
      <alignment horizontal="right"/>
    </xf>
    <xf numFmtId="165" fontId="29" fillId="0" borderId="0" xfId="49" applyNumberFormat="1" applyFont="1" applyAlignment="1">
      <alignment horizontal="right"/>
    </xf>
    <xf numFmtId="43" fontId="29" fillId="0" borderId="0" xfId="49" applyFont="1" applyBorder="1" applyAlignment="1">
      <alignment horizontal="right"/>
    </xf>
    <xf numFmtId="0" fontId="29" fillId="0" borderId="0" xfId="0" applyFont="1" applyBorder="1" applyAlignment="1">
      <alignment/>
    </xf>
    <xf numFmtId="164" fontId="162" fillId="0" borderId="0" xfId="49" applyNumberFormat="1" applyFont="1" applyAlignment="1">
      <alignment vertical="center"/>
    </xf>
    <xf numFmtId="165" fontId="176" fillId="0" borderId="0" xfId="49" applyNumberFormat="1" applyFont="1" applyAlignment="1">
      <alignment horizontal="right" vertical="center"/>
    </xf>
    <xf numFmtId="0" fontId="28" fillId="0" borderId="0" xfId="0" applyFont="1" applyAlignment="1">
      <alignment horizontal="right"/>
    </xf>
    <xf numFmtId="165" fontId="167" fillId="0" borderId="0" xfId="49" applyNumberFormat="1" applyFont="1" applyBorder="1" applyAlignment="1">
      <alignment horizontal="right" vertical="center"/>
    </xf>
    <xf numFmtId="10" fontId="176" fillId="0" borderId="0" xfId="86" applyNumberFormat="1" applyFont="1" applyBorder="1" applyAlignment="1">
      <alignment vertical="center"/>
    </xf>
    <xf numFmtId="164" fontId="28" fillId="0" borderId="0" xfId="49" applyNumberFormat="1" applyFont="1" applyAlignment="1">
      <alignment horizontal="right" vertical="center"/>
    </xf>
    <xf numFmtId="165" fontId="28" fillId="0" borderId="0" xfId="49" applyNumberFormat="1" applyFont="1" applyAlignment="1">
      <alignment horizontal="right" vertical="center"/>
    </xf>
    <xf numFmtId="43" fontId="28" fillId="0" borderId="0" xfId="49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164" fontId="27" fillId="0" borderId="0" xfId="49" applyNumberFormat="1" applyFont="1" applyAlignment="1">
      <alignment horizontal="right"/>
    </xf>
    <xf numFmtId="10" fontId="27" fillId="0" borderId="0" xfId="86" applyNumberFormat="1" applyFont="1" applyAlignment="1">
      <alignment horizontal="right"/>
    </xf>
    <xf numFmtId="10" fontId="29" fillId="0" borderId="0" xfId="86" applyNumberFormat="1" applyFont="1" applyAlignment="1">
      <alignment horizontal="right"/>
    </xf>
    <xf numFmtId="164" fontId="28" fillId="0" borderId="0" xfId="49" applyNumberFormat="1" applyFont="1" applyAlignment="1">
      <alignment horizontal="right"/>
    </xf>
    <xf numFmtId="10" fontId="28" fillId="0" borderId="0" xfId="86" applyNumberFormat="1" applyFont="1" applyAlignment="1">
      <alignment/>
    </xf>
    <xf numFmtId="0" fontId="5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externalLink" Target="externalLinks/externalLink2.xml" /><Relationship Id="rId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C55">
            <v>0</v>
          </cell>
          <cell r="D55">
            <v>0</v>
          </cell>
          <cell r="E55">
            <v>0</v>
          </cell>
        </row>
        <row r="57">
          <cell r="C57" t="str">
            <v>S/D</v>
          </cell>
          <cell r="D57" t="str">
            <v>Pkgs.</v>
          </cell>
          <cell r="E57" t="str">
            <v>Qty.(Kilo.)</v>
          </cell>
          <cell r="G57" t="str">
            <v>Av.Pr.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957" bestFit="1" customWidth="1"/>
    <col min="11" max="16384" width="9.140625" style="957" customWidth="1"/>
  </cols>
  <sheetData>
    <row r="1" spans="1:9" ht="13.5" customHeight="1">
      <c r="A1" s="855"/>
      <c r="B1" s="855"/>
      <c r="C1" s="856" t="s">
        <v>3</v>
      </c>
      <c r="D1" s="857"/>
      <c r="E1" s="858"/>
      <c r="F1" s="857"/>
      <c r="G1" s="855"/>
      <c r="H1" s="855"/>
      <c r="I1" s="668"/>
    </row>
    <row r="2" spans="1:9" ht="13.5" customHeight="1">
      <c r="A2" s="855"/>
      <c r="B2" s="855"/>
      <c r="C2" s="856" t="s">
        <v>4</v>
      </c>
      <c r="D2" s="859"/>
      <c r="E2" s="856"/>
      <c r="F2" s="857"/>
      <c r="G2" s="855"/>
      <c r="H2" s="855"/>
      <c r="I2" s="668"/>
    </row>
    <row r="3" spans="1:9" ht="13.5" customHeight="1">
      <c r="A3" s="855"/>
      <c r="B3" s="855"/>
      <c r="C3" s="856" t="s">
        <v>1652</v>
      </c>
      <c r="D3" s="859"/>
      <c r="E3" s="856"/>
      <c r="F3" s="857"/>
      <c r="G3" s="855"/>
      <c r="H3" s="855"/>
      <c r="I3" s="668"/>
    </row>
    <row r="4" spans="1:9" ht="13.5" customHeight="1">
      <c r="A4" s="860"/>
      <c r="B4" s="855"/>
      <c r="C4" s="856" t="s">
        <v>1145</v>
      </c>
      <c r="D4" s="859"/>
      <c r="E4" s="856"/>
      <c r="F4" s="857"/>
      <c r="G4" s="860"/>
      <c r="H4" s="855"/>
      <c r="I4" s="668"/>
    </row>
    <row r="5" spans="1:9" ht="13.5" customHeight="1">
      <c r="A5" s="855"/>
      <c r="B5" s="860"/>
      <c r="C5" s="861"/>
      <c r="D5" s="862"/>
      <c r="E5" s="858" t="s">
        <v>2012</v>
      </c>
      <c r="F5" s="857"/>
      <c r="G5" s="860"/>
      <c r="H5" s="855"/>
      <c r="I5" s="668"/>
    </row>
    <row r="6" spans="1:9" ht="13.5" customHeight="1">
      <c r="A6" s="864" t="s">
        <v>1113</v>
      </c>
      <c r="B6" s="855"/>
      <c r="C6" s="865"/>
      <c r="D6" s="857"/>
      <c r="E6" s="866"/>
      <c r="F6" s="857"/>
      <c r="G6" s="855"/>
      <c r="H6" s="855"/>
      <c r="I6" s="668"/>
    </row>
    <row r="7" spans="1:9" ht="13.5" customHeight="1">
      <c r="A7" s="867"/>
      <c r="B7" s="855"/>
      <c r="C7" s="865"/>
      <c r="D7" s="868"/>
      <c r="E7" s="865"/>
      <c r="F7" s="868"/>
      <c r="G7" s="855"/>
      <c r="H7" s="855"/>
      <c r="I7" s="668"/>
    </row>
    <row r="8" spans="1:9" ht="14.25" customHeight="1">
      <c r="A8" s="867" t="s">
        <v>625</v>
      </c>
      <c r="B8" s="855"/>
      <c r="C8" s="869" t="s">
        <v>2011</v>
      </c>
      <c r="D8" s="857"/>
      <c r="E8" s="869" t="s">
        <v>2013</v>
      </c>
      <c r="F8" s="870"/>
      <c r="G8" s="871"/>
      <c r="H8" s="871"/>
      <c r="I8" s="668"/>
    </row>
    <row r="9" spans="1:9" ht="14.25" customHeight="1">
      <c r="A9" s="867" t="s">
        <v>626</v>
      </c>
      <c r="B9" s="867"/>
      <c r="C9" s="866" t="s">
        <v>0</v>
      </c>
      <c r="D9" s="872" t="s">
        <v>1</v>
      </c>
      <c r="E9" s="866" t="s">
        <v>0</v>
      </c>
      <c r="F9" s="872" t="s">
        <v>1</v>
      </c>
      <c r="G9" s="855"/>
      <c r="H9" s="855"/>
      <c r="I9" s="668"/>
    </row>
    <row r="10" spans="1:9" ht="13.5" customHeight="1">
      <c r="A10" s="855" t="s">
        <v>879</v>
      </c>
      <c r="B10" s="855"/>
      <c r="C10" s="858">
        <v>0</v>
      </c>
      <c r="D10" s="857">
        <v>0</v>
      </c>
      <c r="E10" s="858">
        <v>10714.6</v>
      </c>
      <c r="F10" s="857">
        <v>131.16914303847085</v>
      </c>
      <c r="G10" s="855"/>
      <c r="H10" s="855"/>
      <c r="I10" s="668"/>
    </row>
    <row r="11" spans="1:9" ht="13.5" customHeight="1">
      <c r="A11" s="855" t="s">
        <v>627</v>
      </c>
      <c r="B11" s="855"/>
      <c r="C11" s="858">
        <v>0</v>
      </c>
      <c r="D11" s="857">
        <v>0</v>
      </c>
      <c r="E11" s="858">
        <v>208513.2</v>
      </c>
      <c r="F11" s="857">
        <v>145.8946934774393</v>
      </c>
      <c r="G11" s="855"/>
      <c r="H11" s="855"/>
      <c r="I11" s="668"/>
    </row>
    <row r="12" spans="1:9" ht="13.5" customHeight="1">
      <c r="A12" s="855" t="s">
        <v>629</v>
      </c>
      <c r="B12" s="855"/>
      <c r="C12" s="858">
        <v>0</v>
      </c>
      <c r="D12" s="857">
        <v>0</v>
      </c>
      <c r="E12" s="858">
        <v>17021</v>
      </c>
      <c r="F12" s="857">
        <v>179.31449386052523</v>
      </c>
      <c r="G12" s="855"/>
      <c r="H12" s="855"/>
      <c r="I12" s="668"/>
    </row>
    <row r="13" spans="1:9" ht="13.5" customHeight="1">
      <c r="A13" s="855" t="s">
        <v>630</v>
      </c>
      <c r="B13" s="855"/>
      <c r="C13" s="858">
        <v>0</v>
      </c>
      <c r="D13" s="857">
        <v>0</v>
      </c>
      <c r="E13" s="858">
        <v>674.5</v>
      </c>
      <c r="F13" s="857">
        <v>181.3721275018532</v>
      </c>
      <c r="G13" s="855"/>
      <c r="H13" s="855"/>
      <c r="I13" s="668"/>
    </row>
    <row r="14" spans="1:9" ht="13.5" customHeight="1">
      <c r="A14" s="855" t="s">
        <v>628</v>
      </c>
      <c r="B14" s="855"/>
      <c r="C14" s="858">
        <v>988</v>
      </c>
      <c r="D14" s="857">
        <v>124</v>
      </c>
      <c r="E14" s="858">
        <v>144309.9</v>
      </c>
      <c r="F14" s="857">
        <v>197.2078984186116</v>
      </c>
      <c r="G14" s="855"/>
      <c r="H14" s="855"/>
      <c r="I14" s="668"/>
    </row>
    <row r="15" spans="1:9" ht="13.5" customHeight="1">
      <c r="A15" s="855" t="s">
        <v>855</v>
      </c>
      <c r="B15" s="855"/>
      <c r="C15" s="858">
        <v>0</v>
      </c>
      <c r="D15" s="857">
        <v>0</v>
      </c>
      <c r="E15" s="858">
        <v>23927</v>
      </c>
      <c r="F15" s="857">
        <v>211.30114514983075</v>
      </c>
      <c r="G15" s="855"/>
      <c r="H15" s="855"/>
      <c r="I15" s="668"/>
    </row>
    <row r="16" spans="1:9" ht="13.5" customHeight="1">
      <c r="A16" s="855" t="s">
        <v>631</v>
      </c>
      <c r="B16" s="855"/>
      <c r="C16" s="858">
        <v>398</v>
      </c>
      <c r="D16" s="857">
        <v>108</v>
      </c>
      <c r="E16" s="858">
        <v>49232.4</v>
      </c>
      <c r="F16" s="857">
        <v>164.71231343586743</v>
      </c>
      <c r="G16" s="855"/>
      <c r="H16" s="855"/>
      <c r="I16" s="668"/>
    </row>
    <row r="17" spans="1:9" ht="13.5" customHeight="1">
      <c r="A17" s="855" t="s">
        <v>632</v>
      </c>
      <c r="B17" s="855"/>
      <c r="C17" s="858">
        <v>9154.5</v>
      </c>
      <c r="D17" s="857">
        <v>128.34720629198756</v>
      </c>
      <c r="E17" s="858">
        <v>551623.6000000001</v>
      </c>
      <c r="F17" s="857">
        <v>186.00611068852018</v>
      </c>
      <c r="G17" s="855"/>
      <c r="H17" s="855"/>
      <c r="I17" s="668"/>
    </row>
    <row r="18" spans="1:9" ht="13.5" customHeight="1">
      <c r="A18" s="855" t="s">
        <v>633</v>
      </c>
      <c r="B18" s="855"/>
      <c r="C18" s="858">
        <v>0</v>
      </c>
      <c r="D18" s="857">
        <v>0</v>
      </c>
      <c r="E18" s="858">
        <v>63289</v>
      </c>
      <c r="F18" s="857">
        <v>159.07373951239552</v>
      </c>
      <c r="G18" s="855"/>
      <c r="H18" s="855"/>
      <c r="I18" s="668"/>
    </row>
    <row r="19" spans="1:9" ht="13.5" customHeight="1">
      <c r="A19" s="855" t="s">
        <v>634</v>
      </c>
      <c r="B19" s="855"/>
      <c r="C19" s="858">
        <v>0</v>
      </c>
      <c r="D19" s="857">
        <v>0</v>
      </c>
      <c r="E19" s="858">
        <v>4985</v>
      </c>
      <c r="F19" s="857">
        <v>194.4</v>
      </c>
      <c r="G19" s="855"/>
      <c r="H19" s="855"/>
      <c r="I19" s="668"/>
    </row>
    <row r="20" spans="1:9" ht="13.5" customHeight="1">
      <c r="A20" s="855" t="s">
        <v>1448</v>
      </c>
      <c r="B20" s="855"/>
      <c r="C20" s="858">
        <v>0</v>
      </c>
      <c r="D20" s="857">
        <v>0</v>
      </c>
      <c r="E20" s="858">
        <v>707.5</v>
      </c>
      <c r="F20" s="857">
        <v>177.61484098939928</v>
      </c>
      <c r="G20" s="855"/>
      <c r="H20" s="855"/>
      <c r="I20" s="668"/>
    </row>
    <row r="21" spans="1:9" ht="13.5" customHeight="1">
      <c r="A21" s="855" t="s">
        <v>635</v>
      </c>
      <c r="B21" s="855"/>
      <c r="C21" s="858">
        <v>5816</v>
      </c>
      <c r="D21" s="857">
        <v>112.17434662998625</v>
      </c>
      <c r="E21" s="858">
        <v>124285.00000000001</v>
      </c>
      <c r="F21" s="857">
        <v>174.4842040471497</v>
      </c>
      <c r="G21" s="855"/>
      <c r="H21" s="855"/>
      <c r="I21" s="668"/>
    </row>
    <row r="22" spans="1:9" ht="13.5" customHeight="1">
      <c r="A22" s="855" t="s">
        <v>636</v>
      </c>
      <c r="B22" s="855"/>
      <c r="C22" s="858">
        <v>0</v>
      </c>
      <c r="D22" s="857">
        <v>0</v>
      </c>
      <c r="E22" s="858">
        <v>813164.6</v>
      </c>
      <c r="F22" s="857">
        <v>281.42711856861456</v>
      </c>
      <c r="G22" s="855"/>
      <c r="H22" s="855"/>
      <c r="I22" s="668"/>
    </row>
    <row r="23" spans="1:9" ht="13.5" customHeight="1">
      <c r="A23" s="855" t="s">
        <v>637</v>
      </c>
      <c r="B23" s="855"/>
      <c r="C23" s="858">
        <v>0</v>
      </c>
      <c r="D23" s="857">
        <v>0</v>
      </c>
      <c r="E23" s="858">
        <v>45868.3</v>
      </c>
      <c r="F23" s="857">
        <v>134.92831868632587</v>
      </c>
      <c r="G23" s="855"/>
      <c r="H23" s="855"/>
      <c r="I23" s="668"/>
    </row>
    <row r="24" spans="1:9" ht="13.5" customHeight="1">
      <c r="A24" s="855" t="s">
        <v>638</v>
      </c>
      <c r="B24" s="855"/>
      <c r="C24" s="858">
        <v>7713.5</v>
      </c>
      <c r="D24" s="857">
        <v>115.90004537499189</v>
      </c>
      <c r="E24" s="858">
        <v>210000.3</v>
      </c>
      <c r="F24" s="857">
        <v>174.71660897627288</v>
      </c>
      <c r="G24" s="855"/>
      <c r="H24" s="855"/>
      <c r="I24" s="668"/>
    </row>
    <row r="25" spans="1:9" ht="13.5" customHeight="1">
      <c r="A25" s="855" t="s">
        <v>856</v>
      </c>
      <c r="B25" s="855"/>
      <c r="C25" s="858">
        <v>0</v>
      </c>
      <c r="D25" s="857">
        <v>0</v>
      </c>
      <c r="E25" s="858">
        <v>5483.7</v>
      </c>
      <c r="F25" s="857">
        <v>197.13614895052612</v>
      </c>
      <c r="G25" s="855"/>
      <c r="H25" s="855"/>
      <c r="I25" s="668"/>
    </row>
    <row r="26" spans="1:9" ht="13.5" customHeight="1">
      <c r="A26" s="855" t="s">
        <v>639</v>
      </c>
      <c r="B26" s="855"/>
      <c r="C26" s="858">
        <v>15897</v>
      </c>
      <c r="D26" s="857">
        <v>100.86481726111845</v>
      </c>
      <c r="E26" s="858">
        <v>185213.6</v>
      </c>
      <c r="F26" s="857">
        <v>160.60096990717742</v>
      </c>
      <c r="G26" s="855"/>
      <c r="H26" s="855"/>
      <c r="I26" s="668"/>
    </row>
    <row r="27" spans="1:9" ht="13.5" customHeight="1">
      <c r="A27" s="855" t="s">
        <v>1911</v>
      </c>
      <c r="B27" s="855"/>
      <c r="C27" s="858">
        <v>4731</v>
      </c>
      <c r="D27" s="857">
        <v>89.1572606214331</v>
      </c>
      <c r="E27" s="858">
        <v>5230.2</v>
      </c>
      <c r="F27" s="857">
        <v>90.19215326373752</v>
      </c>
      <c r="G27" s="855"/>
      <c r="H27" s="855"/>
      <c r="I27" s="668"/>
    </row>
    <row r="28" spans="1:9" ht="13.5" customHeight="1">
      <c r="A28" s="855" t="s">
        <v>1374</v>
      </c>
      <c r="B28" s="855"/>
      <c r="C28" s="858">
        <v>0</v>
      </c>
      <c r="D28" s="857">
        <v>0</v>
      </c>
      <c r="E28" s="858">
        <v>1497</v>
      </c>
      <c r="F28" s="857">
        <v>140</v>
      </c>
      <c r="G28" s="855"/>
      <c r="H28" s="855"/>
      <c r="I28" s="668"/>
    </row>
    <row r="29" spans="1:9" ht="13.5" customHeight="1">
      <c r="A29" s="855" t="s">
        <v>640</v>
      </c>
      <c r="B29" s="855"/>
      <c r="C29" s="858">
        <v>6964</v>
      </c>
      <c r="D29" s="857">
        <v>104.14316484778863</v>
      </c>
      <c r="E29" s="858">
        <v>271467.8</v>
      </c>
      <c r="F29" s="857">
        <v>194.93373173540292</v>
      </c>
      <c r="G29" s="855"/>
      <c r="H29" s="855"/>
      <c r="I29" s="668"/>
    </row>
    <row r="30" spans="1:9" ht="13.5" customHeight="1">
      <c r="A30" s="855" t="s">
        <v>641</v>
      </c>
      <c r="B30" s="855"/>
      <c r="C30" s="858">
        <v>35024.5</v>
      </c>
      <c r="D30" s="857">
        <v>96.10629702065697</v>
      </c>
      <c r="E30" s="858">
        <v>267874.19999999995</v>
      </c>
      <c r="F30" s="857">
        <v>161.18706766086473</v>
      </c>
      <c r="G30" s="855"/>
      <c r="H30" s="855"/>
      <c r="I30" s="668"/>
    </row>
    <row r="31" spans="1:9" ht="13.5" customHeight="1">
      <c r="A31" s="855" t="s">
        <v>642</v>
      </c>
      <c r="B31" s="855"/>
      <c r="C31" s="858">
        <v>0</v>
      </c>
      <c r="D31" s="857">
        <v>0</v>
      </c>
      <c r="E31" s="858">
        <v>10491</v>
      </c>
      <c r="F31" s="857">
        <v>175.05290248784672</v>
      </c>
      <c r="G31" s="855"/>
      <c r="H31" s="855"/>
      <c r="I31" s="668"/>
    </row>
    <row r="32" spans="1:9" ht="13.5" customHeight="1">
      <c r="A32" s="855" t="s">
        <v>643</v>
      </c>
      <c r="B32" s="855"/>
      <c r="C32" s="858">
        <v>0</v>
      </c>
      <c r="D32" s="857">
        <v>0</v>
      </c>
      <c r="E32" s="858">
        <v>1233</v>
      </c>
      <c r="F32" s="857">
        <v>171.3199513381995</v>
      </c>
      <c r="G32" s="855"/>
      <c r="H32" s="855"/>
      <c r="I32" s="668"/>
    </row>
    <row r="33" spans="1:9" ht="13.5" customHeight="1">
      <c r="A33" s="855" t="s">
        <v>644</v>
      </c>
      <c r="B33" s="855"/>
      <c r="C33" s="858">
        <v>6420</v>
      </c>
      <c r="D33" s="857">
        <v>138.37632398753894</v>
      </c>
      <c r="E33" s="858">
        <v>834499.4</v>
      </c>
      <c r="F33" s="857">
        <v>191.9422477715382</v>
      </c>
      <c r="G33" s="855"/>
      <c r="H33" s="855"/>
      <c r="I33" s="668"/>
    </row>
    <row r="34" spans="1:9" ht="13.5" customHeight="1">
      <c r="A34" s="855" t="s">
        <v>645</v>
      </c>
      <c r="B34" s="855"/>
      <c r="C34" s="858">
        <v>22969</v>
      </c>
      <c r="D34" s="857">
        <v>223.45618006878837</v>
      </c>
      <c r="E34" s="858">
        <v>575894.3</v>
      </c>
      <c r="F34" s="857">
        <v>226.5729521893167</v>
      </c>
      <c r="G34" s="855"/>
      <c r="H34" s="855"/>
      <c r="I34" s="668"/>
    </row>
    <row r="35" spans="1:9" ht="13.5" customHeight="1">
      <c r="A35" s="855" t="s">
        <v>646</v>
      </c>
      <c r="B35" s="855"/>
      <c r="C35" s="858">
        <v>0</v>
      </c>
      <c r="D35" s="857">
        <v>0</v>
      </c>
      <c r="E35" s="858">
        <v>148661.19999999998</v>
      </c>
      <c r="F35" s="857">
        <v>123.64646861454099</v>
      </c>
      <c r="G35" s="855"/>
      <c r="H35" s="855"/>
      <c r="I35" s="668"/>
    </row>
    <row r="36" spans="1:9" ht="13.5" customHeight="1">
      <c r="A36" s="855" t="s">
        <v>647</v>
      </c>
      <c r="B36" s="855"/>
      <c r="C36" s="858">
        <v>0</v>
      </c>
      <c r="D36" s="857">
        <v>0</v>
      </c>
      <c r="E36" s="858">
        <v>336963.10000000003</v>
      </c>
      <c r="F36" s="857">
        <v>147.7046083087436</v>
      </c>
      <c r="G36" s="855"/>
      <c r="H36" s="855"/>
      <c r="I36" s="668"/>
    </row>
    <row r="37" spans="1:9" ht="13.5" customHeight="1">
      <c r="A37" s="855" t="s">
        <v>880</v>
      </c>
      <c r="B37" s="855"/>
      <c r="C37" s="858">
        <v>0</v>
      </c>
      <c r="D37" s="857">
        <v>0</v>
      </c>
      <c r="E37" s="858">
        <v>49847.700000000004</v>
      </c>
      <c r="F37" s="857">
        <v>236.32333688414911</v>
      </c>
      <c r="G37" s="855"/>
      <c r="H37" s="855"/>
      <c r="I37" s="668"/>
    </row>
    <row r="38" spans="1:9" ht="13.5" customHeight="1">
      <c r="A38" s="855" t="s">
        <v>648</v>
      </c>
      <c r="B38" s="855"/>
      <c r="C38" s="858">
        <v>0</v>
      </c>
      <c r="D38" s="857">
        <v>0</v>
      </c>
      <c r="E38" s="858">
        <v>15560.2</v>
      </c>
      <c r="F38" s="857">
        <v>164.04772432230948</v>
      </c>
      <c r="G38" s="855"/>
      <c r="H38" s="855"/>
      <c r="I38" s="668"/>
    </row>
    <row r="39" spans="1:9" ht="13.5" customHeight="1">
      <c r="A39" s="855" t="s">
        <v>650</v>
      </c>
      <c r="B39" s="855"/>
      <c r="C39" s="858">
        <v>3744.6</v>
      </c>
      <c r="D39" s="857">
        <v>125.33432142284892</v>
      </c>
      <c r="E39" s="858">
        <v>98664.9</v>
      </c>
      <c r="F39" s="857">
        <v>144.87967453471296</v>
      </c>
      <c r="G39" s="855"/>
      <c r="H39" s="855"/>
      <c r="I39" s="668"/>
    </row>
    <row r="40" spans="1:9" ht="13.5" customHeight="1">
      <c r="A40" s="855" t="s">
        <v>649</v>
      </c>
      <c r="B40" s="855"/>
      <c r="C40" s="858">
        <v>1988</v>
      </c>
      <c r="D40" s="857">
        <v>115.75</v>
      </c>
      <c r="E40" s="858">
        <v>214018.2</v>
      </c>
      <c r="F40" s="857">
        <v>135.17838249270392</v>
      </c>
      <c r="G40" s="855"/>
      <c r="H40" s="855"/>
      <c r="I40" s="668"/>
    </row>
    <row r="41" spans="1:9" ht="13.5" customHeight="1">
      <c r="A41" s="855" t="s">
        <v>719</v>
      </c>
      <c r="B41" s="855"/>
      <c r="C41" s="858">
        <v>1982</v>
      </c>
      <c r="D41" s="857">
        <v>105.75</v>
      </c>
      <c r="E41" s="858">
        <v>47538.8</v>
      </c>
      <c r="F41" s="857">
        <v>161.50083090023307</v>
      </c>
      <c r="G41" s="855"/>
      <c r="H41" s="855"/>
      <c r="I41" s="668"/>
    </row>
    <row r="42" spans="1:9" ht="13.5" customHeight="1">
      <c r="A42" s="855" t="s">
        <v>651</v>
      </c>
      <c r="B42" s="855"/>
      <c r="C42" s="858">
        <v>0</v>
      </c>
      <c r="D42" s="857">
        <v>0</v>
      </c>
      <c r="E42" s="858">
        <v>23430.9</v>
      </c>
      <c r="F42" s="857">
        <v>189.22787857060547</v>
      </c>
      <c r="G42" s="855"/>
      <c r="H42" s="855"/>
      <c r="I42" s="668"/>
    </row>
    <row r="43" spans="1:9" ht="13.5" customHeight="1">
      <c r="A43" s="855" t="s">
        <v>652</v>
      </c>
      <c r="B43" s="855"/>
      <c r="C43" s="873">
        <v>495.5</v>
      </c>
      <c r="D43" s="874">
        <v>96</v>
      </c>
      <c r="E43" s="873">
        <v>36048.9</v>
      </c>
      <c r="F43" s="874">
        <v>170.16861818252428</v>
      </c>
      <c r="G43" s="855"/>
      <c r="H43" s="855"/>
      <c r="I43" s="668"/>
    </row>
    <row r="44" spans="1:9" ht="13.5" customHeight="1">
      <c r="A44" s="855" t="s">
        <v>653</v>
      </c>
      <c r="B44" s="855"/>
      <c r="C44" s="858">
        <v>0</v>
      </c>
      <c r="D44" s="857">
        <v>0</v>
      </c>
      <c r="E44" s="858">
        <v>8317.9</v>
      </c>
      <c r="F44" s="857">
        <v>174.2495581817526</v>
      </c>
      <c r="G44" s="855"/>
      <c r="H44" s="855"/>
      <c r="I44" s="668"/>
    </row>
    <row r="45" spans="1:9" ht="13.5" customHeight="1">
      <c r="A45" s="855" t="s">
        <v>881</v>
      </c>
      <c r="B45" s="855"/>
      <c r="C45" s="858">
        <v>1985</v>
      </c>
      <c r="D45" s="857">
        <v>106.25188916876574</v>
      </c>
      <c r="E45" s="858">
        <v>48351.5</v>
      </c>
      <c r="F45" s="857">
        <v>127.86657497699139</v>
      </c>
      <c r="G45" s="855"/>
      <c r="H45" s="855"/>
      <c r="I45" s="668"/>
    </row>
    <row r="46" spans="1:9" ht="13.5" customHeight="1">
      <c r="A46" s="855" t="s">
        <v>654</v>
      </c>
      <c r="B46" s="855"/>
      <c r="C46" s="858">
        <v>6958</v>
      </c>
      <c r="D46" s="857">
        <v>109.21428571428571</v>
      </c>
      <c r="E46" s="858">
        <v>105518.5</v>
      </c>
      <c r="F46" s="857">
        <v>173.10511805986627</v>
      </c>
      <c r="G46" s="855"/>
      <c r="H46" s="855"/>
      <c r="I46" s="668"/>
    </row>
    <row r="47" spans="1:9" ht="13.5" customHeight="1">
      <c r="A47" s="855" t="s">
        <v>655</v>
      </c>
      <c r="B47" s="855"/>
      <c r="C47" s="858">
        <v>16655.5</v>
      </c>
      <c r="D47" s="857">
        <v>112.56344750983159</v>
      </c>
      <c r="E47" s="858">
        <v>936877.5999999999</v>
      </c>
      <c r="F47" s="857">
        <v>182.66217283879985</v>
      </c>
      <c r="G47" s="855"/>
      <c r="H47" s="855"/>
      <c r="I47" s="668"/>
    </row>
    <row r="48" spans="1:9" ht="13.5" customHeight="1">
      <c r="A48" s="855" t="s">
        <v>656</v>
      </c>
      <c r="B48" s="855"/>
      <c r="C48" s="858">
        <v>0</v>
      </c>
      <c r="D48" s="857">
        <v>0</v>
      </c>
      <c r="E48" s="858">
        <v>160995.59999999998</v>
      </c>
      <c r="F48" s="857">
        <v>130.76658244076236</v>
      </c>
      <c r="G48" s="855"/>
      <c r="H48" s="855"/>
      <c r="I48" s="668"/>
    </row>
    <row r="49" spans="1:9" ht="13.5" customHeight="1">
      <c r="A49" s="855" t="s">
        <v>1193</v>
      </c>
      <c r="B49" s="867"/>
      <c r="C49" s="858">
        <v>2986.5</v>
      </c>
      <c r="D49" s="857">
        <v>108.99899547965846</v>
      </c>
      <c r="E49" s="858">
        <v>67119.9</v>
      </c>
      <c r="F49" s="857">
        <v>126.934298173865</v>
      </c>
      <c r="G49" s="855"/>
      <c r="H49" s="855"/>
      <c r="I49" s="668"/>
    </row>
    <row r="50" spans="1:9" ht="13.5" customHeight="1">
      <c r="A50" s="875" t="s">
        <v>657</v>
      </c>
      <c r="B50" s="876"/>
      <c r="C50" s="877">
        <v>0</v>
      </c>
      <c r="D50" s="878">
        <v>0</v>
      </c>
      <c r="E50" s="877">
        <v>151676.79999999996</v>
      </c>
      <c r="F50" s="878">
        <v>134.35169320555292</v>
      </c>
      <c r="G50" s="879"/>
      <c r="H50" s="880"/>
      <c r="I50" s="668"/>
    </row>
    <row r="51" spans="1:9" ht="13.5" customHeight="1">
      <c r="A51" s="875" t="s">
        <v>659</v>
      </c>
      <c r="B51" s="881"/>
      <c r="C51" s="882">
        <v>12932.7</v>
      </c>
      <c r="D51" s="883">
        <v>122.4656258940515</v>
      </c>
      <c r="E51" s="882">
        <v>1116431.7</v>
      </c>
      <c r="F51" s="883">
        <v>192.4991140076012</v>
      </c>
      <c r="G51" s="516"/>
      <c r="H51" s="884"/>
      <c r="I51" s="668"/>
    </row>
    <row r="52" spans="1:9" ht="13.5" customHeight="1">
      <c r="A52" s="875" t="s">
        <v>658</v>
      </c>
      <c r="B52" s="881"/>
      <c r="C52" s="877">
        <v>0</v>
      </c>
      <c r="D52" s="878">
        <v>0</v>
      </c>
      <c r="E52" s="877">
        <v>185063.09999999998</v>
      </c>
      <c r="F52" s="885">
        <v>135.48894836409855</v>
      </c>
      <c r="G52" s="862"/>
      <c r="H52" s="886"/>
      <c r="I52" s="668"/>
    </row>
    <row r="53" spans="1:9" ht="13.5" customHeight="1">
      <c r="A53" s="855" t="s">
        <v>961</v>
      </c>
      <c r="B53" s="887"/>
      <c r="C53" s="858">
        <v>0</v>
      </c>
      <c r="D53" s="857">
        <v>0</v>
      </c>
      <c r="E53" s="858">
        <v>121174.59999999999</v>
      </c>
      <c r="F53" s="874">
        <v>138.51194722326298</v>
      </c>
      <c r="G53" s="857"/>
      <c r="H53" s="891"/>
      <c r="I53" s="668"/>
    </row>
    <row r="54" spans="1:9" ht="13.5" customHeight="1">
      <c r="A54" s="855" t="s">
        <v>960</v>
      </c>
      <c r="B54" s="892"/>
      <c r="C54" s="865">
        <v>0</v>
      </c>
      <c r="D54" s="868">
        <v>0</v>
      </c>
      <c r="E54" s="893">
        <v>11226.9</v>
      </c>
      <c r="F54" s="894">
        <v>129.66629256517828</v>
      </c>
      <c r="G54" s="516"/>
      <c r="H54" s="895"/>
      <c r="I54" s="668"/>
    </row>
    <row r="55" spans="1:9" ht="13.5" customHeight="1">
      <c r="A55" s="875" t="s">
        <v>660</v>
      </c>
      <c r="B55" s="876"/>
      <c r="C55" s="900">
        <v>165803.30000000002</v>
      </c>
      <c r="D55" s="896">
        <v>125.06345832682459</v>
      </c>
      <c r="E55" s="900">
        <v>8310688.1</v>
      </c>
      <c r="F55" s="896">
        <v>186.90106389626143</v>
      </c>
      <c r="G55" s="896"/>
      <c r="H55" s="897"/>
      <c r="I55" s="681"/>
    </row>
    <row r="56" spans="1:9" ht="13.5" customHeight="1">
      <c r="A56" s="898"/>
      <c r="B56" s="899"/>
      <c r="C56" s="877">
        <v>0</v>
      </c>
      <c r="D56" s="878"/>
      <c r="E56" s="877">
        <v>0</v>
      </c>
      <c r="F56" s="1110"/>
      <c r="G56" s="1111"/>
      <c r="H56" s="903"/>
      <c r="I56" s="682"/>
    </row>
    <row r="57" spans="1:9" ht="13.5" customHeight="1">
      <c r="A57" s="898" t="s">
        <v>76</v>
      </c>
      <c r="B57" s="876"/>
      <c r="C57" s="922" t="s">
        <v>661</v>
      </c>
      <c r="D57" s="1112" t="s">
        <v>85</v>
      </c>
      <c r="E57" s="1113" t="s">
        <v>661</v>
      </c>
      <c r="F57" s="1114" t="s">
        <v>85</v>
      </c>
      <c r="G57" s="904"/>
      <c r="H57" s="908"/>
      <c r="I57" s="684"/>
    </row>
    <row r="58" spans="1:9" ht="13.5" customHeight="1">
      <c r="A58" s="875" t="s">
        <v>628</v>
      </c>
      <c r="B58" s="881"/>
      <c r="C58" s="882">
        <v>0</v>
      </c>
      <c r="D58" s="883">
        <v>0</v>
      </c>
      <c r="E58" s="882">
        <v>20</v>
      </c>
      <c r="F58" s="883">
        <v>750</v>
      </c>
      <c r="G58" s="878"/>
      <c r="H58" s="910"/>
      <c r="I58" s="682"/>
    </row>
    <row r="59" spans="1:9" ht="13.5" customHeight="1">
      <c r="A59" s="875" t="s">
        <v>639</v>
      </c>
      <c r="B59" s="911"/>
      <c r="C59" s="882">
        <v>0</v>
      </c>
      <c r="D59" s="883">
        <v>0</v>
      </c>
      <c r="E59" s="1115">
        <v>59</v>
      </c>
      <c r="F59" s="1116">
        <v>447.45762711864404</v>
      </c>
      <c r="G59" s="914"/>
      <c r="H59" s="915"/>
      <c r="I59" s="682"/>
    </row>
    <row r="60" spans="1:9" ht="13.5" customHeight="1">
      <c r="A60" s="855" t="s">
        <v>641</v>
      </c>
      <c r="B60" s="916"/>
      <c r="C60" s="873">
        <v>0</v>
      </c>
      <c r="D60" s="1117">
        <v>0</v>
      </c>
      <c r="E60" s="1118">
        <v>399</v>
      </c>
      <c r="F60" s="1119">
        <v>713.1829573934837</v>
      </c>
      <c r="G60" s="1120"/>
      <c r="H60" s="920"/>
      <c r="I60" s="682"/>
    </row>
    <row r="61" spans="1:9" ht="13.5" customHeight="1">
      <c r="A61" s="875" t="s">
        <v>660</v>
      </c>
      <c r="B61" s="921"/>
      <c r="C61" s="882">
        <v>0</v>
      </c>
      <c r="D61" s="883">
        <v>0</v>
      </c>
      <c r="E61" s="922">
        <v>478</v>
      </c>
      <c r="F61" s="923">
        <v>681.9246861924686</v>
      </c>
      <c r="G61" s="923"/>
      <c r="H61" s="925"/>
      <c r="I61" s="682"/>
    </row>
    <row r="62" spans="1:10" ht="13.5" customHeight="1">
      <c r="A62" s="926"/>
      <c r="B62" s="927"/>
      <c r="C62" s="928"/>
      <c r="D62" s="929"/>
      <c r="E62" s="928"/>
      <c r="F62" s="931"/>
      <c r="G62" s="931"/>
      <c r="H62" s="931"/>
      <c r="I62" s="682"/>
      <c r="J62" s="570"/>
    </row>
    <row r="63" spans="1:10" ht="13.5" customHeight="1">
      <c r="A63" s="926" t="s">
        <v>1977</v>
      </c>
      <c r="B63" s="1121"/>
      <c r="C63" s="1122" t="s">
        <v>661</v>
      </c>
      <c r="D63" s="1112" t="s">
        <v>85</v>
      </c>
      <c r="E63" s="1123" t="s">
        <v>661</v>
      </c>
      <c r="F63" s="1124" t="s">
        <v>85</v>
      </c>
      <c r="G63" s="867"/>
      <c r="H63" s="1125"/>
      <c r="I63" s="972"/>
      <c r="J63" s="570"/>
    </row>
    <row r="64" spans="1:10" ht="13.5" customHeight="1">
      <c r="A64" s="875" t="s">
        <v>636</v>
      </c>
      <c r="B64" s="1126"/>
      <c r="C64" s="882">
        <v>0</v>
      </c>
      <c r="D64" s="883">
        <v>0</v>
      </c>
      <c r="E64" s="1127">
        <v>249</v>
      </c>
      <c r="F64" s="1128">
        <v>759.8393574297189</v>
      </c>
      <c r="G64" s="1128"/>
      <c r="H64" s="1128"/>
      <c r="I64" s="682"/>
      <c r="J64" s="570"/>
    </row>
    <row r="65" spans="1:10" ht="13.5" customHeight="1">
      <c r="A65" s="1129" t="s">
        <v>660</v>
      </c>
      <c r="B65" s="1126"/>
      <c r="C65" s="1127">
        <v>0</v>
      </c>
      <c r="D65" s="1128">
        <v>0</v>
      </c>
      <c r="E65" s="1127">
        <v>249</v>
      </c>
      <c r="F65" s="1128">
        <v>759.8393574297189</v>
      </c>
      <c r="G65" s="1128"/>
      <c r="H65" s="1128"/>
      <c r="J65" s="570"/>
    </row>
    <row r="66" spans="1:10" ht="13.5" customHeight="1">
      <c r="A66" s="855" t="s">
        <v>662</v>
      </c>
      <c r="B66" s="1130"/>
      <c r="C66" s="1118">
        <v>165803.30000000002</v>
      </c>
      <c r="D66" s="890">
        <v>125.06345832682459</v>
      </c>
      <c r="E66" s="1118">
        <v>8311415.1</v>
      </c>
      <c r="F66" s="890">
        <v>186.94669787338614</v>
      </c>
      <c r="G66" s="874"/>
      <c r="H66" s="1131"/>
      <c r="J66" s="570"/>
    </row>
    <row r="67" spans="1:10" ht="13.5" customHeight="1">
      <c r="A67" s="855"/>
      <c r="B67" s="916"/>
      <c r="C67" s="1118"/>
      <c r="D67" s="890"/>
      <c r="E67" s="916"/>
      <c r="F67" s="1118"/>
      <c r="G67" s="890"/>
      <c r="H67" s="1132"/>
      <c r="J67" s="570"/>
    </row>
    <row r="68" spans="1:10" ht="13.5" customHeight="1">
      <c r="A68" s="855"/>
      <c r="B68" s="916"/>
      <c r="C68" s="1118" t="s">
        <v>2011</v>
      </c>
      <c r="D68" s="890"/>
      <c r="E68" s="916"/>
      <c r="F68" s="1118"/>
      <c r="G68" s="890" t="s">
        <v>2013</v>
      </c>
      <c r="H68" s="1132"/>
      <c r="I68" s="511"/>
      <c r="J68" s="570"/>
    </row>
    <row r="69" spans="1:10" ht="13.5" customHeight="1">
      <c r="A69" s="867" t="s">
        <v>663</v>
      </c>
      <c r="B69" s="1123" t="s">
        <v>6</v>
      </c>
      <c r="C69" s="865" t="s">
        <v>0</v>
      </c>
      <c r="D69" s="868" t="s">
        <v>7</v>
      </c>
      <c r="E69" s="1133" t="s">
        <v>6</v>
      </c>
      <c r="F69" s="865" t="s">
        <v>0</v>
      </c>
      <c r="G69" s="868" t="s">
        <v>7</v>
      </c>
      <c r="H69" s="868" t="s">
        <v>2</v>
      </c>
      <c r="I69" s="511"/>
      <c r="J69" s="570"/>
    </row>
    <row r="70" spans="1:10" ht="13.5" customHeight="1">
      <c r="A70" s="855" t="s">
        <v>664</v>
      </c>
      <c r="B70" s="855">
        <v>0</v>
      </c>
      <c r="C70" s="858">
        <v>0</v>
      </c>
      <c r="D70" s="857">
        <v>0</v>
      </c>
      <c r="E70" s="887">
        <v>185</v>
      </c>
      <c r="F70" s="858">
        <v>9224.5</v>
      </c>
      <c r="G70" s="857">
        <v>118.446799284514</v>
      </c>
      <c r="H70" s="891">
        <f>F70/F72</f>
        <v>0.0011098591381869497</v>
      </c>
      <c r="I70" s="511"/>
      <c r="J70" s="570"/>
    </row>
    <row r="71" spans="1:10" ht="13.5" customHeight="1">
      <c r="A71" s="867" t="s">
        <v>665</v>
      </c>
      <c r="B71" s="867">
        <v>3334</v>
      </c>
      <c r="C71" s="866">
        <v>165803.3</v>
      </c>
      <c r="D71" s="872">
        <v>125.06345832682463</v>
      </c>
      <c r="E71" s="892">
        <v>166548</v>
      </c>
      <c r="F71" s="866">
        <v>8302190.6</v>
      </c>
      <c r="G71" s="872">
        <v>187.022807582856</v>
      </c>
      <c r="H71" s="1134">
        <f>F71/F72</f>
        <v>0.998890140861813</v>
      </c>
      <c r="I71" s="511"/>
      <c r="J71" s="570"/>
    </row>
    <row r="72" spans="1:10" ht="13.5" customHeight="1">
      <c r="A72" s="867" t="s">
        <v>666</v>
      </c>
      <c r="B72" s="867">
        <v>3334</v>
      </c>
      <c r="C72" s="866">
        <v>165803.3</v>
      </c>
      <c r="D72" s="872">
        <v>125.06345832682463</v>
      </c>
      <c r="E72" s="892">
        <v>166733</v>
      </c>
      <c r="F72" s="866">
        <v>8311415.1</v>
      </c>
      <c r="G72" s="872">
        <v>186.94669787338614</v>
      </c>
      <c r="H72" s="1134">
        <f>F72/F72</f>
        <v>1</v>
      </c>
      <c r="I72" s="511"/>
      <c r="J72" s="570"/>
    </row>
    <row r="73" spans="1:10" ht="13.5" customHeight="1">
      <c r="A73" s="511"/>
      <c r="B73" s="511"/>
      <c r="C73" s="723"/>
      <c r="D73" s="724"/>
      <c r="E73" s="723"/>
      <c r="F73" s="724"/>
      <c r="G73" s="511"/>
      <c r="H73" s="511"/>
      <c r="I73" s="511"/>
      <c r="J73" s="570"/>
    </row>
    <row r="74" spans="1:10" ht="13.5" customHeight="1">
      <c r="A74" s="511"/>
      <c r="B74" s="511"/>
      <c r="C74" s="723"/>
      <c r="D74" s="724"/>
      <c r="E74" s="723"/>
      <c r="F74" s="724"/>
      <c r="G74" s="511"/>
      <c r="H74" s="511"/>
      <c r="I74" s="511"/>
      <c r="J74" s="570"/>
    </row>
    <row r="75" spans="1:9" ht="13.5" customHeight="1">
      <c r="A75" s="511"/>
      <c r="B75" s="511"/>
      <c r="C75" s="723"/>
      <c r="D75" s="724"/>
      <c r="E75" s="723"/>
      <c r="F75" s="724"/>
      <c r="G75" s="511"/>
      <c r="H75" s="511"/>
      <c r="I75" s="511"/>
    </row>
    <row r="76" spans="1:9" ht="13.5" customHeight="1">
      <c r="A76" s="511"/>
      <c r="B76" s="511"/>
      <c r="C76" s="723"/>
      <c r="D76" s="724"/>
      <c r="E76" s="723"/>
      <c r="F76" s="724"/>
      <c r="G76" s="511"/>
      <c r="H76" s="511"/>
      <c r="I76" s="511"/>
    </row>
    <row r="77" spans="1:9" ht="13.5" customHeight="1">
      <c r="A77" s="511"/>
      <c r="B77" s="511"/>
      <c r="C77" s="723"/>
      <c r="D77" s="724"/>
      <c r="E77" s="723"/>
      <c r="F77" s="724"/>
      <c r="G77" s="511"/>
      <c r="H77" s="511"/>
      <c r="I77" s="511"/>
    </row>
    <row r="78" spans="1:9" ht="13.5" customHeight="1">
      <c r="A78" s="511"/>
      <c r="B78" s="511"/>
      <c r="C78" s="723"/>
      <c r="D78" s="724"/>
      <c r="E78" s="723"/>
      <c r="F78" s="724"/>
      <c r="G78" s="511"/>
      <c r="H78" s="511"/>
      <c r="I78" s="511"/>
    </row>
    <row r="79" spans="1:9" ht="13.5" customHeight="1">
      <c r="A79" s="511"/>
      <c r="B79" s="511"/>
      <c r="C79" s="723"/>
      <c r="D79" s="724"/>
      <c r="E79" s="723"/>
      <c r="F79" s="724"/>
      <c r="G79" s="511"/>
      <c r="H79" s="511"/>
      <c r="I79" s="511"/>
    </row>
    <row r="80" spans="1:9" ht="13.5" customHeight="1">
      <c r="A80" s="511"/>
      <c r="B80" s="511"/>
      <c r="C80" s="723"/>
      <c r="D80" s="724"/>
      <c r="E80" s="723"/>
      <c r="F80" s="724"/>
      <c r="G80" s="511"/>
      <c r="H80" s="511"/>
      <c r="I80" s="511"/>
    </row>
    <row r="81" spans="1:9" ht="13.5" customHeight="1">
      <c r="A81" s="511"/>
      <c r="B81" s="511"/>
      <c r="C81" s="723"/>
      <c r="D81" s="724"/>
      <c r="E81" s="723"/>
      <c r="F81" s="724"/>
      <c r="G81" s="511"/>
      <c r="H81" s="511"/>
      <c r="I81" s="511"/>
    </row>
    <row r="82" spans="1:9" ht="13.5" customHeight="1">
      <c r="A82" s="511"/>
      <c r="B82" s="511"/>
      <c r="C82" s="723"/>
      <c r="D82" s="724"/>
      <c r="E82" s="723"/>
      <c r="F82" s="724"/>
      <c r="G82" s="511"/>
      <c r="H82" s="511"/>
      <c r="I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</sheetData>
  <sheetProtection/>
  <printOptions/>
  <pageMargins left="0.5" right="0.45" top="0.25" bottom="0.25" header="0.3" footer="0.3"/>
  <pageSetup horizontalDpi="600" verticalDpi="600" orientation="portrait" paperSize="5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A1" sqref="A1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7" width="9.140625" style="744" customWidth="1"/>
    <col min="8" max="8" width="10.421875" style="744" bestFit="1" customWidth="1"/>
    <col min="9" max="16384" width="9.140625" style="744" customWidth="1"/>
  </cols>
  <sheetData>
    <row r="1" spans="1:8" ht="15" customHeight="1">
      <c r="A1" s="645" t="s">
        <v>124</v>
      </c>
      <c r="B1" s="769"/>
      <c r="C1" s="769"/>
      <c r="D1" s="769"/>
      <c r="E1" s="769"/>
      <c r="F1" s="769"/>
      <c r="G1" s="623"/>
      <c r="H1" s="18"/>
    </row>
    <row r="2" spans="1:8" ht="15" customHeight="1">
      <c r="A2" s="770" t="s">
        <v>1812</v>
      </c>
      <c r="B2" s="769"/>
      <c r="C2" s="769"/>
      <c r="D2" s="769"/>
      <c r="E2" s="769"/>
      <c r="F2" s="769"/>
      <c r="G2" s="623"/>
      <c r="H2" s="18"/>
    </row>
    <row r="3" spans="1:8" ht="15" customHeight="1">
      <c r="A3" s="770"/>
      <c r="B3" s="769"/>
      <c r="C3" s="769"/>
      <c r="D3" s="769"/>
      <c r="E3" s="769"/>
      <c r="F3" s="769"/>
      <c r="G3" s="623"/>
      <c r="H3" s="18"/>
    </row>
    <row r="4" spans="1:8" ht="15" customHeight="1">
      <c r="A4" s="1136" t="s">
        <v>8</v>
      </c>
      <c r="B4" s="1136"/>
      <c r="C4" s="769"/>
      <c r="D4" s="769"/>
      <c r="E4" s="769"/>
      <c r="F4" s="769"/>
      <c r="G4" s="623"/>
      <c r="H4" s="18"/>
    </row>
    <row r="5" spans="1:8" ht="15" customHeight="1">
      <c r="A5" s="1136" t="s">
        <v>9</v>
      </c>
      <c r="B5" s="1136"/>
      <c r="C5" s="1136"/>
      <c r="D5" s="772"/>
      <c r="E5" s="769"/>
      <c r="F5" s="769"/>
      <c r="G5" s="623"/>
      <c r="H5" s="18"/>
    </row>
    <row r="6" spans="1:8" ht="15" customHeight="1">
      <c r="A6" s="1136" t="s">
        <v>10</v>
      </c>
      <c r="B6" s="1136"/>
      <c r="C6" s="1136"/>
      <c r="D6" s="645"/>
      <c r="E6" s="645"/>
      <c r="F6" s="769"/>
      <c r="G6" s="623"/>
      <c r="H6" s="18"/>
    </row>
    <row r="7" spans="1:8" ht="15" customHeight="1">
      <c r="A7" s="645" t="s">
        <v>11</v>
      </c>
      <c r="B7" s="769"/>
      <c r="C7" s="769"/>
      <c r="D7" s="769"/>
      <c r="E7" s="769"/>
      <c r="F7" s="769"/>
      <c r="G7" s="623"/>
      <c r="H7" s="18"/>
    </row>
    <row r="8" spans="1:8" ht="15" customHeight="1">
      <c r="A8" s="771"/>
      <c r="B8" s="769"/>
      <c r="C8" s="773" t="s">
        <v>1813</v>
      </c>
      <c r="D8" s="771"/>
      <c r="E8" s="771"/>
      <c r="F8" s="771"/>
      <c r="G8" s="627"/>
      <c r="H8" s="15"/>
    </row>
    <row r="9" spans="1:8" ht="15" customHeight="1">
      <c r="A9" s="769" t="s">
        <v>12</v>
      </c>
      <c r="B9" s="769"/>
      <c r="C9" s="769"/>
      <c r="D9" s="769"/>
      <c r="E9" s="769"/>
      <c r="F9" s="769"/>
      <c r="G9" s="623"/>
      <c r="H9" s="18"/>
    </row>
    <row r="10" spans="1:8" ht="15" customHeight="1">
      <c r="A10" s="771" t="s">
        <v>13</v>
      </c>
      <c r="B10" s="771"/>
      <c r="C10" s="771"/>
      <c r="D10" s="771"/>
      <c r="E10" s="771"/>
      <c r="F10" s="771"/>
      <c r="G10" s="627"/>
      <c r="H10" s="15"/>
    </row>
    <row r="11" spans="1:8" ht="15" customHeight="1">
      <c r="A11" s="645" t="s">
        <v>125</v>
      </c>
      <c r="B11" s="774"/>
      <c r="C11" s="774" t="s">
        <v>14</v>
      </c>
      <c r="D11" s="774" t="s">
        <v>0</v>
      </c>
      <c r="E11" s="774" t="s">
        <v>15</v>
      </c>
      <c r="F11" s="774" t="s">
        <v>1</v>
      </c>
      <c r="G11" s="628"/>
      <c r="H11" s="18"/>
    </row>
    <row r="12" spans="1:8" ht="15" customHeight="1">
      <c r="A12" s="769" t="s">
        <v>16</v>
      </c>
      <c r="B12" s="775" t="s">
        <v>17</v>
      </c>
      <c r="C12" s="776">
        <v>3658</v>
      </c>
      <c r="D12" s="777">
        <v>181999.5</v>
      </c>
      <c r="E12" s="778">
        <v>30837184.5</v>
      </c>
      <c r="F12" s="779">
        <f>E12/D12</f>
        <v>169.43554515259657</v>
      </c>
      <c r="G12" s="623"/>
      <c r="H12" s="847"/>
    </row>
    <row r="13" spans="1:8" ht="15" customHeight="1">
      <c r="A13" s="769" t="s">
        <v>18</v>
      </c>
      <c r="B13" s="775" t="s">
        <v>17</v>
      </c>
      <c r="C13" s="780">
        <v>656</v>
      </c>
      <c r="D13" s="781">
        <v>32724.5</v>
      </c>
      <c r="E13" s="782">
        <v>5598470.4</v>
      </c>
      <c r="F13" s="779">
        <f>E13/D13</f>
        <v>171.0788675151645</v>
      </c>
      <c r="G13" s="623"/>
      <c r="H13" s="847"/>
    </row>
    <row r="14" spans="1:8" ht="15" customHeight="1">
      <c r="A14" s="769" t="s">
        <v>19</v>
      </c>
      <c r="B14" s="775"/>
      <c r="C14" s="783">
        <f>C12+C13</f>
        <v>4314</v>
      </c>
      <c r="D14" s="784">
        <f>D12+D13</f>
        <v>214724</v>
      </c>
      <c r="E14" s="785">
        <f>E12+E13</f>
        <v>36435654.9</v>
      </c>
      <c r="F14" s="786">
        <f>E14/D14</f>
        <v>169.6859917848028</v>
      </c>
      <c r="G14" s="623"/>
      <c r="H14" s="847"/>
    </row>
    <row r="15" spans="1:8" ht="15" customHeight="1">
      <c r="A15" s="645" t="s">
        <v>20</v>
      </c>
      <c r="B15" s="774"/>
      <c r="C15" s="774" t="s">
        <v>14</v>
      </c>
      <c r="D15" s="774" t="s">
        <v>0</v>
      </c>
      <c r="E15" s="774" t="s">
        <v>15</v>
      </c>
      <c r="F15" s="774" t="s">
        <v>1</v>
      </c>
      <c r="G15" s="623"/>
      <c r="H15" s="847"/>
    </row>
    <row r="16" spans="1:8" ht="15" customHeight="1">
      <c r="A16" s="769" t="s">
        <v>16</v>
      </c>
      <c r="B16" s="775" t="s">
        <v>21</v>
      </c>
      <c r="C16" s="787">
        <v>7</v>
      </c>
      <c r="D16" s="777">
        <v>48</v>
      </c>
      <c r="E16" s="778">
        <v>16000</v>
      </c>
      <c r="F16" s="779">
        <f>E16/D16</f>
        <v>333.3333333333333</v>
      </c>
      <c r="G16" s="623"/>
      <c r="H16" s="847"/>
    </row>
    <row r="17" spans="1:8" ht="15" customHeight="1">
      <c r="A17" s="769" t="s">
        <v>19</v>
      </c>
      <c r="B17" s="775"/>
      <c r="C17" s="788">
        <f>SUM(C16)</f>
        <v>7</v>
      </c>
      <c r="D17" s="784">
        <f>SUM(D16)</f>
        <v>48</v>
      </c>
      <c r="E17" s="789">
        <f>SUM(E16)</f>
        <v>16000</v>
      </c>
      <c r="F17" s="790">
        <f>E17/D17</f>
        <v>333.3333333333333</v>
      </c>
      <c r="G17" s="623"/>
      <c r="H17" s="847"/>
    </row>
    <row r="18" spans="1:8" ht="15" customHeight="1">
      <c r="A18" s="769" t="s">
        <v>1151</v>
      </c>
      <c r="B18" s="775"/>
      <c r="C18" s="788">
        <f>C17+C14</f>
        <v>4321</v>
      </c>
      <c r="D18" s="791">
        <f>D17+D14</f>
        <v>214772</v>
      </c>
      <c r="E18" s="792">
        <f>E17+E14</f>
        <v>36451654.9</v>
      </c>
      <c r="F18" s="790">
        <f>E18/D18</f>
        <v>169.72256579069898</v>
      </c>
      <c r="G18" s="623"/>
      <c r="H18" s="847"/>
    </row>
    <row r="19" spans="1:8" ht="15" customHeight="1">
      <c r="A19" s="645"/>
      <c r="B19" s="775"/>
      <c r="C19" s="793"/>
      <c r="D19" s="794"/>
      <c r="E19" s="795"/>
      <c r="F19" s="796"/>
      <c r="G19" s="623"/>
      <c r="H19" s="847"/>
    </row>
    <row r="20" spans="1:8" ht="15" customHeight="1">
      <c r="A20" s="645" t="s">
        <v>1181</v>
      </c>
      <c r="B20" s="774"/>
      <c r="C20" s="774" t="s">
        <v>14</v>
      </c>
      <c r="D20" s="774" t="s">
        <v>0</v>
      </c>
      <c r="E20" s="774" t="s">
        <v>15</v>
      </c>
      <c r="F20" s="774" t="s">
        <v>1</v>
      </c>
      <c r="G20" s="623"/>
      <c r="H20" s="847"/>
    </row>
    <row r="21" spans="1:8" ht="15" customHeight="1">
      <c r="A21" s="769" t="s">
        <v>16</v>
      </c>
      <c r="B21" s="775" t="s">
        <v>17</v>
      </c>
      <c r="C21" s="787"/>
      <c r="D21" s="777"/>
      <c r="E21" s="778"/>
      <c r="F21" s="797" t="e">
        <f>E21/D21</f>
        <v>#DIV/0!</v>
      </c>
      <c r="G21" s="623"/>
      <c r="H21" s="847"/>
    </row>
    <row r="22" spans="1:8" ht="15" customHeight="1">
      <c r="A22" s="769" t="s">
        <v>18</v>
      </c>
      <c r="B22" s="775" t="s">
        <v>17</v>
      </c>
      <c r="C22" s="798"/>
      <c r="D22" s="781"/>
      <c r="E22" s="782"/>
      <c r="F22" s="799" t="e">
        <f>E22/D22</f>
        <v>#DIV/0!</v>
      </c>
      <c r="G22" s="623"/>
      <c r="H22" s="847"/>
    </row>
    <row r="23" spans="1:8" ht="15" customHeight="1">
      <c r="A23" s="769" t="s">
        <v>19</v>
      </c>
      <c r="B23" s="775"/>
      <c r="C23" s="800">
        <f>C21+C22</f>
        <v>0</v>
      </c>
      <c r="D23" s="781">
        <f>D21+D22</f>
        <v>0</v>
      </c>
      <c r="E23" s="782">
        <f>E21+E22</f>
        <v>0</v>
      </c>
      <c r="F23" s="801" t="e">
        <f>E23/D23</f>
        <v>#DIV/0!</v>
      </c>
      <c r="G23" s="623"/>
      <c r="H23" s="847"/>
    </row>
    <row r="24" spans="1:8" ht="15" customHeight="1">
      <c r="A24" s="769"/>
      <c r="B24" s="775"/>
      <c r="C24" s="793"/>
      <c r="D24" s="794"/>
      <c r="E24" s="795"/>
      <c r="F24" s="796"/>
      <c r="G24" s="623"/>
      <c r="H24" s="18"/>
    </row>
    <row r="25" spans="1:8" ht="15" customHeight="1">
      <c r="A25" s="645" t="s">
        <v>126</v>
      </c>
      <c r="B25" s="774"/>
      <c r="C25" s="774" t="s">
        <v>14</v>
      </c>
      <c r="D25" s="774" t="s">
        <v>0</v>
      </c>
      <c r="E25" s="774" t="s">
        <v>15</v>
      </c>
      <c r="F25" s="774" t="s">
        <v>1</v>
      </c>
      <c r="G25" s="623"/>
      <c r="H25" s="18"/>
    </row>
    <row r="26" spans="1:8" ht="15" customHeight="1">
      <c r="A26" s="769" t="s">
        <v>16</v>
      </c>
      <c r="B26" s="775" t="s">
        <v>17</v>
      </c>
      <c r="C26" s="787"/>
      <c r="D26" s="777"/>
      <c r="E26" s="778"/>
      <c r="F26" s="779"/>
      <c r="G26" s="623"/>
      <c r="H26" s="18"/>
    </row>
    <row r="27" spans="1:8" ht="15" customHeight="1">
      <c r="A27" s="769" t="s">
        <v>18</v>
      </c>
      <c r="B27" s="775" t="s">
        <v>17</v>
      </c>
      <c r="C27" s="802"/>
      <c r="D27" s="803"/>
      <c r="E27" s="804"/>
      <c r="F27" s="805"/>
      <c r="G27" s="623"/>
      <c r="H27" s="18"/>
    </row>
    <row r="28" spans="1:8" ht="15" customHeight="1">
      <c r="A28" s="769" t="s">
        <v>19</v>
      </c>
      <c r="B28" s="775"/>
      <c r="C28" s="800">
        <f>C26+C27</f>
        <v>0</v>
      </c>
      <c r="D28" s="800">
        <f>D26+D27</f>
        <v>0</v>
      </c>
      <c r="E28" s="806">
        <f>E26+E27</f>
        <v>0</v>
      </c>
      <c r="F28" s="797" t="e">
        <f>E28/D28</f>
        <v>#DIV/0!</v>
      </c>
      <c r="G28" s="623"/>
      <c r="H28" s="18"/>
    </row>
    <row r="29" spans="1:8" ht="15" customHeight="1">
      <c r="A29" s="769" t="s">
        <v>76</v>
      </c>
      <c r="B29" s="775" t="s">
        <v>21</v>
      </c>
      <c r="C29" s="798"/>
      <c r="D29" s="781"/>
      <c r="E29" s="782"/>
      <c r="F29" s="779" t="e">
        <f>E29/D29</f>
        <v>#DIV/0!</v>
      </c>
      <c r="G29" s="623"/>
      <c r="H29" s="18"/>
    </row>
    <row r="30" spans="1:8" ht="15" customHeight="1">
      <c r="A30" s="769" t="s">
        <v>19</v>
      </c>
      <c r="B30" s="775"/>
      <c r="C30" s="800">
        <f>C26+C27+C29</f>
        <v>0</v>
      </c>
      <c r="D30" s="800">
        <f>D26+D27+D29</f>
        <v>0</v>
      </c>
      <c r="E30" s="806">
        <f>E26+E27+E29</f>
        <v>0</v>
      </c>
      <c r="F30" s="779" t="e">
        <f>E30/D30</f>
        <v>#DIV/0!</v>
      </c>
      <c r="G30" s="623"/>
      <c r="H30" s="18"/>
    </row>
    <row r="31" spans="1:8" ht="15" customHeight="1">
      <c r="A31" s="769" t="s">
        <v>22</v>
      </c>
      <c r="B31" s="775"/>
      <c r="C31" s="788">
        <f>C30+C14+C17+C23</f>
        <v>4321</v>
      </c>
      <c r="D31" s="784">
        <f>D30+D14+D17+D23</f>
        <v>214772</v>
      </c>
      <c r="E31" s="789">
        <f>E14+E17+E23+E28+E29</f>
        <v>36451654.9</v>
      </c>
      <c r="F31" s="786">
        <f>E31/D31</f>
        <v>169.72256579069898</v>
      </c>
      <c r="G31" s="658"/>
      <c r="H31" s="18"/>
    </row>
    <row r="32" spans="1:8" ht="15" customHeight="1">
      <c r="A32" s="769"/>
      <c r="B32" s="775"/>
      <c r="C32" s="793"/>
      <c r="D32" s="794"/>
      <c r="E32" s="807"/>
      <c r="F32" s="796"/>
      <c r="G32" s="660"/>
      <c r="H32" s="18"/>
    </row>
    <row r="33" spans="1:8" ht="15" customHeight="1">
      <c r="A33" s="769"/>
      <c r="B33" s="775"/>
      <c r="C33" s="793"/>
      <c r="D33" s="808" t="str">
        <f>'uptodate sale39'!C9</f>
        <v>Sale No. 39</v>
      </c>
      <c r="E33" s="807"/>
      <c r="F33" s="796"/>
      <c r="G33" s="660"/>
      <c r="H33" s="18"/>
    </row>
    <row r="34" spans="1:8" ht="15" customHeight="1">
      <c r="A34" s="645" t="s">
        <v>23</v>
      </c>
      <c r="B34" s="769"/>
      <c r="C34" s="774" t="s">
        <v>14</v>
      </c>
      <c r="D34" s="774" t="s">
        <v>0</v>
      </c>
      <c r="E34" s="809" t="s">
        <v>1</v>
      </c>
      <c r="F34" s="809" t="s">
        <v>2</v>
      </c>
      <c r="G34" s="660"/>
      <c r="H34" s="18"/>
    </row>
    <row r="35" spans="1:8" ht="15" customHeight="1">
      <c r="A35" s="772" t="s">
        <v>24</v>
      </c>
      <c r="B35" s="769"/>
      <c r="C35" s="810"/>
      <c r="D35" s="811"/>
      <c r="E35" s="795"/>
      <c r="F35" s="812">
        <f>D35/D37</f>
        <v>0</v>
      </c>
      <c r="G35" s="660"/>
      <c r="H35" s="846"/>
    </row>
    <row r="36" spans="1:8" ht="15" customHeight="1">
      <c r="A36" s="772" t="s">
        <v>127</v>
      </c>
      <c r="B36" s="769"/>
      <c r="C36" s="808">
        <v>4321</v>
      </c>
      <c r="D36" s="813">
        <v>214772</v>
      </c>
      <c r="E36" s="804">
        <v>169.72</v>
      </c>
      <c r="F36" s="814">
        <f>D36/D37</f>
        <v>1</v>
      </c>
      <c r="G36" s="623"/>
      <c r="H36" s="18"/>
    </row>
    <row r="37" spans="1:8" ht="15" customHeight="1">
      <c r="A37" s="772" t="s">
        <v>25</v>
      </c>
      <c r="B37" s="769"/>
      <c r="C37" s="808">
        <f>C36+C35</f>
        <v>4321</v>
      </c>
      <c r="D37" s="815">
        <f>D36+D35</f>
        <v>214772</v>
      </c>
      <c r="E37" s="804">
        <f>F31</f>
        <v>169.72256579069898</v>
      </c>
      <c r="F37" s="814">
        <f>SUM(F35:F36)</f>
        <v>1</v>
      </c>
      <c r="G37" s="623"/>
      <c r="H37" s="18"/>
    </row>
    <row r="38" spans="1:8" ht="15" customHeight="1">
      <c r="A38" s="645"/>
      <c r="B38" s="769"/>
      <c r="C38" s="808"/>
      <c r="D38" s="813"/>
      <c r="E38" s="816"/>
      <c r="F38" s="814"/>
      <c r="G38" s="623"/>
      <c r="H38" s="18"/>
    </row>
    <row r="39" spans="1:8" ht="15" customHeight="1">
      <c r="A39" s="769" t="s">
        <v>26</v>
      </c>
      <c r="B39" s="769"/>
      <c r="C39" s="769"/>
      <c r="D39" s="769"/>
      <c r="E39" s="769"/>
      <c r="F39" s="817"/>
      <c r="G39" s="623"/>
      <c r="H39" s="18"/>
    </row>
    <row r="40" spans="1:8" ht="15" customHeight="1">
      <c r="A40" s="769"/>
      <c r="B40" s="769"/>
      <c r="C40" s="769"/>
      <c r="D40" s="769"/>
      <c r="E40" s="769" t="s">
        <v>27</v>
      </c>
      <c r="F40" s="769"/>
      <c r="G40" s="623"/>
      <c r="H40" s="18"/>
    </row>
    <row r="41" spans="1:8" ht="15" customHeight="1">
      <c r="A41" s="769" t="s">
        <v>28</v>
      </c>
      <c r="B41" s="769"/>
      <c r="C41" s="769"/>
      <c r="D41" s="769" t="s">
        <v>29</v>
      </c>
      <c r="E41" s="769"/>
      <c r="F41" s="769"/>
      <c r="G41" s="623"/>
      <c r="H41" s="18"/>
    </row>
    <row r="42" spans="1:8" ht="15" customHeight="1">
      <c r="A42" s="769" t="s">
        <v>30</v>
      </c>
      <c r="B42" s="769"/>
      <c r="C42" s="769"/>
      <c r="D42" s="769"/>
      <c r="E42" s="769"/>
      <c r="F42" s="769"/>
      <c r="G42" s="623"/>
      <c r="H42" s="845"/>
    </row>
    <row r="43" spans="1:7" ht="15" customHeight="1">
      <c r="A43" s="769" t="s">
        <v>31</v>
      </c>
      <c r="B43" s="769"/>
      <c r="C43" s="769"/>
      <c r="D43" s="769"/>
      <c r="E43" s="769"/>
      <c r="F43" s="769"/>
      <c r="G43" s="664"/>
    </row>
    <row r="44" spans="1:7" ht="15" customHeight="1">
      <c r="A44" s="769" t="s">
        <v>32</v>
      </c>
      <c r="B44" s="769"/>
      <c r="C44" s="769"/>
      <c r="D44" s="769"/>
      <c r="E44" s="769"/>
      <c r="F44" s="769"/>
      <c r="G44" s="664"/>
    </row>
    <row r="45" spans="1:7" ht="15" customHeight="1">
      <c r="A45" s="769" t="s">
        <v>33</v>
      </c>
      <c r="B45" s="769"/>
      <c r="C45" s="769"/>
      <c r="D45" s="769"/>
      <c r="E45" s="769"/>
      <c r="F45" s="769"/>
      <c r="G45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67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971" customWidth="1"/>
    <col min="9" max="9" width="10.28125" style="819" customWidth="1"/>
    <col min="10" max="10" width="12.57421875" style="848" bestFit="1" customWidth="1"/>
    <col min="11" max="16384" width="8.8515625" style="848" customWidth="1"/>
  </cols>
  <sheetData>
    <row r="1" spans="1:9" ht="15.75" customHeight="1">
      <c r="A1" s="966" t="s">
        <v>1808</v>
      </c>
      <c r="B1" s="517"/>
      <c r="C1" s="518"/>
      <c r="D1" s="517"/>
      <c r="E1" s="518"/>
      <c r="F1" s="517"/>
      <c r="G1" s="520"/>
      <c r="H1" s="521"/>
      <c r="I1" s="522"/>
    </row>
    <row r="2" spans="1:9" ht="15.75" customHeight="1">
      <c r="A2" s="966" t="s">
        <v>1809</v>
      </c>
      <c r="B2" s="517"/>
      <c r="C2" s="518"/>
      <c r="D2" s="517"/>
      <c r="E2" s="518"/>
      <c r="F2" s="517"/>
      <c r="G2" s="520"/>
      <c r="H2" s="521"/>
      <c r="I2" s="522"/>
    </row>
    <row r="3" spans="1:9" ht="15.75" customHeight="1">
      <c r="A3" s="96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.75" customHeight="1">
      <c r="A4" s="96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.75" customHeight="1">
      <c r="A5" s="966" t="s">
        <v>9</v>
      </c>
      <c r="B5" s="517"/>
      <c r="C5" s="518"/>
      <c r="D5" s="517"/>
      <c r="E5" s="854"/>
      <c r="F5" s="517"/>
      <c r="G5" s="520"/>
      <c r="H5" s="521"/>
      <c r="I5" s="522"/>
    </row>
    <row r="6" spans="1:9" ht="15.75" customHeight="1">
      <c r="A6" s="96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.75" customHeight="1">
      <c r="A7" s="966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.75" customHeight="1">
      <c r="A8" s="966" t="s">
        <v>1810</v>
      </c>
      <c r="B8" s="527"/>
      <c r="C8" s="528"/>
      <c r="D8" s="527"/>
      <c r="E8" s="528"/>
      <c r="F8" s="527"/>
      <c r="G8" s="530"/>
      <c r="H8" s="531"/>
      <c r="I8" s="532"/>
    </row>
    <row r="9" spans="1:9" ht="15.75" customHeight="1">
      <c r="A9" s="966"/>
      <c r="B9" s="527"/>
      <c r="C9" s="528" t="s">
        <v>1811</v>
      </c>
      <c r="D9" s="527"/>
      <c r="E9" s="528"/>
      <c r="F9" s="527"/>
      <c r="G9" s="530"/>
      <c r="H9" s="531"/>
      <c r="I9" s="532"/>
    </row>
    <row r="10" spans="1:9" ht="15.75" customHeight="1">
      <c r="A10" s="967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/>
      <c r="I10" s="532"/>
    </row>
    <row r="11" spans="1:9" s="957" customFormat="1" ht="15.75" customHeight="1">
      <c r="A11" s="967" t="s">
        <v>89</v>
      </c>
      <c r="B11" s="542" t="s">
        <v>6</v>
      </c>
      <c r="C11" s="543" t="s">
        <v>87</v>
      </c>
      <c r="D11" s="822" t="s">
        <v>6</v>
      </c>
      <c r="E11" s="545" t="s">
        <v>87</v>
      </c>
      <c r="F11" s="822" t="s">
        <v>6</v>
      </c>
      <c r="G11" s="543" t="s">
        <v>87</v>
      </c>
      <c r="H11" s="540" t="s">
        <v>35</v>
      </c>
      <c r="I11" s="532" t="s">
        <v>85</v>
      </c>
    </row>
    <row r="12" spans="1:9" ht="15.75" customHeight="1">
      <c r="A12" s="966" t="s">
        <v>36</v>
      </c>
      <c r="B12" s="958">
        <v>1018</v>
      </c>
      <c r="C12" s="959">
        <v>50572.5</v>
      </c>
      <c r="D12" s="960">
        <v>39</v>
      </c>
      <c r="E12" s="961">
        <v>1945.1</v>
      </c>
      <c r="F12" s="962">
        <v>1057</v>
      </c>
      <c r="G12" s="961">
        <v>52517.6</v>
      </c>
      <c r="H12" s="564" t="s">
        <v>1817</v>
      </c>
      <c r="I12" s="963">
        <v>181.7</v>
      </c>
    </row>
    <row r="13" spans="1:9" ht="15.75" customHeight="1">
      <c r="A13" s="966" t="s">
        <v>490</v>
      </c>
      <c r="B13" s="960">
        <v>60</v>
      </c>
      <c r="C13" s="959">
        <v>2982</v>
      </c>
      <c r="D13" s="960">
        <v>0</v>
      </c>
      <c r="E13" s="961">
        <v>0</v>
      </c>
      <c r="F13" s="962">
        <v>60</v>
      </c>
      <c r="G13" s="961">
        <v>2982</v>
      </c>
      <c r="H13" s="564" t="s">
        <v>1818</v>
      </c>
      <c r="I13" s="963">
        <v>206.39</v>
      </c>
    </row>
    <row r="14" spans="1:9" ht="15.75" customHeight="1">
      <c r="A14" s="966" t="s">
        <v>1284</v>
      </c>
      <c r="B14" s="960">
        <v>10</v>
      </c>
      <c r="C14" s="959">
        <v>498.5</v>
      </c>
      <c r="D14" s="960">
        <v>0</v>
      </c>
      <c r="E14" s="961">
        <v>0</v>
      </c>
      <c r="F14" s="962">
        <v>10</v>
      </c>
      <c r="G14" s="961">
        <v>498.5</v>
      </c>
      <c r="H14" s="564" t="s">
        <v>1819</v>
      </c>
      <c r="I14" s="963">
        <v>280</v>
      </c>
    </row>
    <row r="15" spans="1:9" ht="15.75" customHeight="1">
      <c r="A15" s="966" t="s">
        <v>213</v>
      </c>
      <c r="B15" s="960">
        <v>102</v>
      </c>
      <c r="C15" s="959">
        <v>5072</v>
      </c>
      <c r="D15" s="960">
        <v>40</v>
      </c>
      <c r="E15" s="961">
        <v>1994.2</v>
      </c>
      <c r="F15" s="962">
        <v>142</v>
      </c>
      <c r="G15" s="961">
        <v>7066.2</v>
      </c>
      <c r="H15" s="564" t="s">
        <v>1820</v>
      </c>
      <c r="I15" s="963">
        <v>158.11</v>
      </c>
    </row>
    <row r="16" spans="1:9" ht="15.75" customHeight="1">
      <c r="A16" s="966" t="s">
        <v>586</v>
      </c>
      <c r="B16" s="964"/>
      <c r="C16" s="959">
        <v>0</v>
      </c>
      <c r="D16" s="960">
        <v>94</v>
      </c>
      <c r="E16" s="961">
        <v>4688.7</v>
      </c>
      <c r="F16" s="962">
        <v>94</v>
      </c>
      <c r="G16" s="961">
        <v>4688.7</v>
      </c>
      <c r="H16" s="564" t="s">
        <v>1821</v>
      </c>
      <c r="I16" s="963">
        <v>170.1</v>
      </c>
    </row>
    <row r="17" spans="1:9" ht="15.75" customHeight="1">
      <c r="A17" s="966" t="s">
        <v>38</v>
      </c>
      <c r="B17" s="960">
        <v>25</v>
      </c>
      <c r="C17" s="959">
        <v>1247</v>
      </c>
      <c r="D17" s="960">
        <v>0</v>
      </c>
      <c r="E17" s="961">
        <v>0</v>
      </c>
      <c r="F17" s="962">
        <v>25</v>
      </c>
      <c r="G17" s="961">
        <v>1247</v>
      </c>
      <c r="H17" s="564" t="s">
        <v>1822</v>
      </c>
      <c r="I17" s="963">
        <v>136</v>
      </c>
    </row>
    <row r="18" spans="1:9" ht="15.75" customHeight="1">
      <c r="A18" s="966" t="s">
        <v>1247</v>
      </c>
      <c r="B18" s="960">
        <v>40</v>
      </c>
      <c r="C18" s="959">
        <v>1997</v>
      </c>
      <c r="D18" s="960">
        <v>0</v>
      </c>
      <c r="E18" s="961">
        <v>0</v>
      </c>
      <c r="F18" s="962">
        <v>40</v>
      </c>
      <c r="G18" s="961">
        <v>1997</v>
      </c>
      <c r="H18" s="564" t="s">
        <v>1823</v>
      </c>
      <c r="I18" s="963">
        <v>134</v>
      </c>
    </row>
    <row r="19" spans="1:9" ht="15.75" customHeight="1">
      <c r="A19" s="966" t="s">
        <v>74</v>
      </c>
      <c r="B19" s="960">
        <v>115</v>
      </c>
      <c r="C19" s="959">
        <v>5729</v>
      </c>
      <c r="D19" s="960">
        <v>0</v>
      </c>
      <c r="E19" s="961">
        <v>0</v>
      </c>
      <c r="F19" s="962">
        <v>115</v>
      </c>
      <c r="G19" s="961">
        <v>5729</v>
      </c>
      <c r="H19" s="564" t="s">
        <v>1824</v>
      </c>
      <c r="I19" s="963">
        <v>196.15</v>
      </c>
    </row>
    <row r="20" spans="1:9" ht="15.75" customHeight="1">
      <c r="A20" s="966" t="s">
        <v>170</v>
      </c>
      <c r="B20" s="960">
        <v>50</v>
      </c>
      <c r="C20" s="959">
        <v>2494</v>
      </c>
      <c r="D20" s="960">
        <v>70</v>
      </c>
      <c r="E20" s="961">
        <v>3494.4</v>
      </c>
      <c r="F20" s="962">
        <v>120</v>
      </c>
      <c r="G20" s="961">
        <v>5988.4</v>
      </c>
      <c r="H20" s="564" t="s">
        <v>1825</v>
      </c>
      <c r="I20" s="963">
        <v>163.18</v>
      </c>
    </row>
    <row r="21" spans="1:9" ht="15.75" customHeight="1">
      <c r="A21" s="966" t="s">
        <v>358</v>
      </c>
      <c r="B21" s="960">
        <v>20</v>
      </c>
      <c r="C21" s="959">
        <v>998.5</v>
      </c>
      <c r="D21" s="960">
        <v>0</v>
      </c>
      <c r="E21" s="961">
        <v>0</v>
      </c>
      <c r="F21" s="962">
        <v>20</v>
      </c>
      <c r="G21" s="961">
        <v>998.5</v>
      </c>
      <c r="H21" s="564" t="s">
        <v>451</v>
      </c>
      <c r="I21" s="963">
        <v>133</v>
      </c>
    </row>
    <row r="22" spans="1:9" ht="15.75" customHeight="1">
      <c r="A22" s="966" t="s">
        <v>1826</v>
      </c>
      <c r="B22" s="960">
        <v>30</v>
      </c>
      <c r="C22" s="959">
        <v>1495.5</v>
      </c>
      <c r="D22" s="960">
        <v>0</v>
      </c>
      <c r="E22" s="961">
        <v>0</v>
      </c>
      <c r="F22" s="962">
        <v>30</v>
      </c>
      <c r="G22" s="961">
        <v>1495.5</v>
      </c>
      <c r="H22" s="564" t="s">
        <v>489</v>
      </c>
      <c r="I22" s="963">
        <v>170.67</v>
      </c>
    </row>
    <row r="23" spans="1:9" ht="15.75" customHeight="1">
      <c r="A23" s="966" t="s">
        <v>40</v>
      </c>
      <c r="B23" s="960">
        <v>30</v>
      </c>
      <c r="C23" s="959">
        <v>1497</v>
      </c>
      <c r="D23" s="960">
        <v>0</v>
      </c>
      <c r="E23" s="961">
        <v>0</v>
      </c>
      <c r="F23" s="962">
        <v>30</v>
      </c>
      <c r="G23" s="961">
        <v>1497</v>
      </c>
      <c r="H23" s="564" t="s">
        <v>1827</v>
      </c>
      <c r="I23" s="963">
        <v>149.38</v>
      </c>
    </row>
    <row r="24" spans="1:9" ht="15.75" customHeight="1">
      <c r="A24" s="966" t="s">
        <v>176</v>
      </c>
      <c r="B24" s="960">
        <v>61</v>
      </c>
      <c r="C24" s="959">
        <v>3042.5</v>
      </c>
      <c r="D24" s="960">
        <v>0</v>
      </c>
      <c r="E24" s="961">
        <v>0</v>
      </c>
      <c r="F24" s="962">
        <v>61</v>
      </c>
      <c r="G24" s="961">
        <v>3042.5</v>
      </c>
      <c r="H24" s="564" t="s">
        <v>1828</v>
      </c>
      <c r="I24" s="963">
        <v>197.86</v>
      </c>
    </row>
    <row r="25" spans="1:9" ht="15.75" customHeight="1">
      <c r="A25" s="966" t="s">
        <v>42</v>
      </c>
      <c r="B25" s="960">
        <v>45</v>
      </c>
      <c r="C25" s="959">
        <v>2244</v>
      </c>
      <c r="D25" s="960">
        <v>5</v>
      </c>
      <c r="E25" s="961">
        <v>249.5</v>
      </c>
      <c r="F25" s="962">
        <v>50</v>
      </c>
      <c r="G25" s="961">
        <v>2493.5</v>
      </c>
      <c r="H25" s="564" t="s">
        <v>1829</v>
      </c>
      <c r="I25" s="963">
        <v>151.31</v>
      </c>
    </row>
    <row r="26" spans="1:9" ht="15.75" customHeight="1">
      <c r="A26" s="966" t="s">
        <v>178</v>
      </c>
      <c r="B26" s="960">
        <v>71</v>
      </c>
      <c r="C26" s="959">
        <v>3541</v>
      </c>
      <c r="D26" s="960">
        <v>0</v>
      </c>
      <c r="E26" s="961">
        <v>0</v>
      </c>
      <c r="F26" s="962">
        <v>71</v>
      </c>
      <c r="G26" s="961">
        <v>3541</v>
      </c>
      <c r="H26" s="564" t="s">
        <v>1830</v>
      </c>
      <c r="I26" s="963">
        <v>167.94</v>
      </c>
    </row>
    <row r="27" spans="1:9" ht="15.75" customHeight="1">
      <c r="A27" s="966" t="s">
        <v>43</v>
      </c>
      <c r="B27" s="960">
        <v>502</v>
      </c>
      <c r="C27" s="959">
        <v>25016</v>
      </c>
      <c r="D27" s="960">
        <v>70</v>
      </c>
      <c r="E27" s="961">
        <v>3492.8</v>
      </c>
      <c r="F27" s="962">
        <v>572</v>
      </c>
      <c r="G27" s="961">
        <v>28508.8</v>
      </c>
      <c r="H27" s="564" t="s">
        <v>1831</v>
      </c>
      <c r="I27" s="963">
        <v>186.16</v>
      </c>
    </row>
    <row r="28" spans="1:9" ht="15.75" customHeight="1">
      <c r="A28" s="966" t="s">
        <v>55</v>
      </c>
      <c r="B28" s="964"/>
      <c r="C28" s="959">
        <v>0</v>
      </c>
      <c r="D28" s="960">
        <v>16</v>
      </c>
      <c r="E28" s="961">
        <v>798.2</v>
      </c>
      <c r="F28" s="962">
        <v>16</v>
      </c>
      <c r="G28" s="961">
        <v>798.2</v>
      </c>
      <c r="H28" s="564" t="s">
        <v>1832</v>
      </c>
      <c r="I28" s="963">
        <v>197.47</v>
      </c>
    </row>
    <row r="29" spans="1:9" ht="15.75" customHeight="1">
      <c r="A29" s="966" t="s">
        <v>230</v>
      </c>
      <c r="B29" s="960">
        <v>10</v>
      </c>
      <c r="C29" s="959">
        <v>498.5</v>
      </c>
      <c r="D29" s="960">
        <v>0</v>
      </c>
      <c r="E29" s="961">
        <v>0</v>
      </c>
      <c r="F29" s="962">
        <v>10</v>
      </c>
      <c r="G29" s="961">
        <v>498.5</v>
      </c>
      <c r="H29" s="564">
        <v>61315.5</v>
      </c>
      <c r="I29" s="963">
        <v>123</v>
      </c>
    </row>
    <row r="30" spans="1:9" ht="15.75" customHeight="1">
      <c r="A30" s="966" t="s">
        <v>46</v>
      </c>
      <c r="B30" s="960">
        <v>335</v>
      </c>
      <c r="C30" s="959">
        <v>16613.5</v>
      </c>
      <c r="D30" s="960">
        <v>42</v>
      </c>
      <c r="E30" s="961">
        <v>2094.8</v>
      </c>
      <c r="F30" s="962">
        <v>377</v>
      </c>
      <c r="G30" s="961">
        <v>18708.3</v>
      </c>
      <c r="H30" s="564" t="s">
        <v>1833</v>
      </c>
      <c r="I30" s="963">
        <v>180.04</v>
      </c>
    </row>
    <row r="31" spans="1:9" ht="15.75" customHeight="1">
      <c r="A31" s="966" t="s">
        <v>47</v>
      </c>
      <c r="B31" s="964"/>
      <c r="C31" s="959">
        <v>0</v>
      </c>
      <c r="D31" s="960">
        <v>20</v>
      </c>
      <c r="E31" s="961">
        <v>998.4</v>
      </c>
      <c r="F31" s="962">
        <v>20</v>
      </c>
      <c r="G31" s="961">
        <v>998.4</v>
      </c>
      <c r="H31" s="564" t="s">
        <v>1834</v>
      </c>
      <c r="I31" s="963">
        <v>110.5</v>
      </c>
    </row>
    <row r="32" spans="1:9" ht="15.75" customHeight="1">
      <c r="A32" s="966" t="s">
        <v>68</v>
      </c>
      <c r="B32" s="960">
        <v>2</v>
      </c>
      <c r="C32" s="959">
        <v>25</v>
      </c>
      <c r="D32" s="960">
        <v>0</v>
      </c>
      <c r="E32" s="961">
        <v>0</v>
      </c>
      <c r="F32" s="962">
        <v>2</v>
      </c>
      <c r="G32" s="961">
        <v>25</v>
      </c>
      <c r="H32" s="564">
        <v>8250</v>
      </c>
      <c r="I32" s="963">
        <v>330</v>
      </c>
    </row>
    <row r="33" spans="1:9" ht="15.75" customHeight="1">
      <c r="A33" s="966" t="s">
        <v>194</v>
      </c>
      <c r="B33" s="960">
        <v>9</v>
      </c>
      <c r="C33" s="959">
        <v>449.5</v>
      </c>
      <c r="D33" s="960">
        <v>40</v>
      </c>
      <c r="E33" s="961">
        <v>1992.8</v>
      </c>
      <c r="F33" s="962">
        <v>49</v>
      </c>
      <c r="G33" s="961">
        <v>2442.3</v>
      </c>
      <c r="H33" s="564" t="s">
        <v>1835</v>
      </c>
      <c r="I33" s="963">
        <v>168.78</v>
      </c>
    </row>
    <row r="34" spans="1:9" ht="15.75" customHeight="1">
      <c r="A34" s="966" t="s">
        <v>50</v>
      </c>
      <c r="B34" s="960">
        <v>5</v>
      </c>
      <c r="C34" s="959">
        <v>23</v>
      </c>
      <c r="D34" s="960">
        <v>0</v>
      </c>
      <c r="E34" s="961">
        <v>0</v>
      </c>
      <c r="F34" s="962">
        <v>5</v>
      </c>
      <c r="G34" s="961">
        <v>23</v>
      </c>
      <c r="H34" s="564">
        <v>7750</v>
      </c>
      <c r="I34" s="963">
        <v>336.96</v>
      </c>
    </row>
    <row r="35" spans="1:9" ht="15.75" customHeight="1">
      <c r="A35" s="966" t="s">
        <v>51</v>
      </c>
      <c r="B35" s="960">
        <v>293</v>
      </c>
      <c r="C35" s="959">
        <v>14552.5</v>
      </c>
      <c r="D35" s="960">
        <v>50</v>
      </c>
      <c r="E35" s="961">
        <v>2494.4</v>
      </c>
      <c r="F35" s="962">
        <v>343</v>
      </c>
      <c r="G35" s="961">
        <v>17046.9</v>
      </c>
      <c r="H35" s="564">
        <v>2447902.7</v>
      </c>
      <c r="I35" s="963">
        <v>143.59811461321414</v>
      </c>
    </row>
    <row r="36" spans="1:9" ht="15.75" customHeight="1">
      <c r="A36" s="966" t="s">
        <v>52</v>
      </c>
      <c r="B36" s="960">
        <v>20</v>
      </c>
      <c r="C36" s="959">
        <v>995.5</v>
      </c>
      <c r="D36" s="960">
        <v>0</v>
      </c>
      <c r="E36" s="961">
        <v>0</v>
      </c>
      <c r="F36" s="962">
        <v>20</v>
      </c>
      <c r="G36" s="961">
        <v>995.5</v>
      </c>
      <c r="H36" s="564" t="s">
        <v>1836</v>
      </c>
      <c r="I36" s="963">
        <v>129.99</v>
      </c>
    </row>
    <row r="37" spans="1:9" ht="15.75" customHeight="1">
      <c r="A37" s="966" t="s">
        <v>1624</v>
      </c>
      <c r="B37" s="960">
        <v>192</v>
      </c>
      <c r="C37" s="959">
        <v>9562.5</v>
      </c>
      <c r="D37" s="960">
        <v>0</v>
      </c>
      <c r="E37" s="961">
        <v>0</v>
      </c>
      <c r="F37" s="962">
        <v>192</v>
      </c>
      <c r="G37" s="961">
        <v>9562.5</v>
      </c>
      <c r="H37" s="564" t="s">
        <v>1837</v>
      </c>
      <c r="I37" s="963">
        <v>135.25</v>
      </c>
    </row>
    <row r="38" spans="1:9" ht="15.75" customHeight="1">
      <c r="A38" s="966" t="s">
        <v>707</v>
      </c>
      <c r="B38" s="960">
        <v>30</v>
      </c>
      <c r="C38" s="959">
        <v>1497</v>
      </c>
      <c r="D38" s="960">
        <v>0</v>
      </c>
      <c r="E38" s="961">
        <v>0</v>
      </c>
      <c r="F38" s="962">
        <v>30</v>
      </c>
      <c r="G38" s="961">
        <v>1497</v>
      </c>
      <c r="H38" s="564" t="s">
        <v>1838</v>
      </c>
      <c r="I38" s="963">
        <v>182.62</v>
      </c>
    </row>
    <row r="39" spans="1:9" ht="15.75" customHeight="1">
      <c r="A39" s="966" t="s">
        <v>374</v>
      </c>
      <c r="B39" s="960">
        <v>10</v>
      </c>
      <c r="C39" s="959">
        <v>497</v>
      </c>
      <c r="D39" s="960">
        <v>0</v>
      </c>
      <c r="E39" s="961">
        <v>0</v>
      </c>
      <c r="F39" s="962">
        <v>10</v>
      </c>
      <c r="G39" s="961">
        <v>497</v>
      </c>
      <c r="H39" s="564">
        <v>67592</v>
      </c>
      <c r="I39" s="963">
        <v>136</v>
      </c>
    </row>
    <row r="40" spans="1:9" ht="15.75" customHeight="1">
      <c r="A40" s="966" t="s">
        <v>53</v>
      </c>
      <c r="B40" s="960">
        <v>70</v>
      </c>
      <c r="C40" s="959">
        <v>3491</v>
      </c>
      <c r="D40" s="960">
        <v>10</v>
      </c>
      <c r="E40" s="961">
        <v>498</v>
      </c>
      <c r="F40" s="962">
        <v>80</v>
      </c>
      <c r="G40" s="961">
        <v>3989</v>
      </c>
      <c r="H40" s="564">
        <v>572450.5</v>
      </c>
      <c r="I40" s="963">
        <v>143.5072699924793</v>
      </c>
    </row>
    <row r="41" spans="1:9" ht="15.75" customHeight="1">
      <c r="A41" s="966" t="s">
        <v>201</v>
      </c>
      <c r="B41" s="960">
        <v>20</v>
      </c>
      <c r="C41" s="959">
        <v>995.5</v>
      </c>
      <c r="D41" s="960">
        <v>0</v>
      </c>
      <c r="E41" s="961">
        <v>0</v>
      </c>
      <c r="F41" s="962">
        <v>20</v>
      </c>
      <c r="G41" s="961">
        <v>995.5</v>
      </c>
      <c r="H41" s="564" t="s">
        <v>1839</v>
      </c>
      <c r="I41" s="963">
        <v>213.45</v>
      </c>
    </row>
    <row r="42" spans="1:9" ht="15.75" customHeight="1">
      <c r="A42" s="966" t="s">
        <v>54</v>
      </c>
      <c r="B42" s="960">
        <v>100</v>
      </c>
      <c r="C42" s="959">
        <v>4982</v>
      </c>
      <c r="D42" s="960">
        <v>0</v>
      </c>
      <c r="E42" s="961">
        <v>0</v>
      </c>
      <c r="F42" s="962">
        <v>100</v>
      </c>
      <c r="G42" s="961">
        <v>4982</v>
      </c>
      <c r="H42" s="564" t="s">
        <v>1840</v>
      </c>
      <c r="I42" s="963">
        <v>148.88</v>
      </c>
    </row>
    <row r="43" spans="1:9" ht="15.75" customHeight="1">
      <c r="A43" s="966" t="s">
        <v>71</v>
      </c>
      <c r="B43" s="960">
        <v>155</v>
      </c>
      <c r="C43" s="959">
        <v>7720</v>
      </c>
      <c r="D43" s="960">
        <v>20</v>
      </c>
      <c r="E43" s="961">
        <v>998.4</v>
      </c>
      <c r="F43" s="962">
        <v>175</v>
      </c>
      <c r="G43" s="961">
        <v>8718.4</v>
      </c>
      <c r="H43" s="564" t="s">
        <v>1841</v>
      </c>
      <c r="I43" s="963">
        <v>138.5</v>
      </c>
    </row>
    <row r="44" spans="1:9" ht="15.75" customHeight="1">
      <c r="A44" s="966" t="s">
        <v>243</v>
      </c>
      <c r="B44" s="960">
        <v>125</v>
      </c>
      <c r="C44" s="959">
        <v>6232</v>
      </c>
      <c r="D44" s="960">
        <v>0</v>
      </c>
      <c r="E44" s="961">
        <v>0</v>
      </c>
      <c r="F44" s="962">
        <v>125</v>
      </c>
      <c r="G44" s="961">
        <v>6232</v>
      </c>
      <c r="H44" s="564" t="s">
        <v>1842</v>
      </c>
      <c r="I44" s="963">
        <v>163.25</v>
      </c>
    </row>
    <row r="45" spans="1:9" ht="15.75" customHeight="1">
      <c r="A45" s="966" t="s">
        <v>994</v>
      </c>
      <c r="B45" s="964"/>
      <c r="C45" s="959">
        <v>0</v>
      </c>
      <c r="D45" s="960">
        <v>140</v>
      </c>
      <c r="E45" s="961">
        <v>6984.8</v>
      </c>
      <c r="F45" s="962">
        <v>140</v>
      </c>
      <c r="G45" s="961">
        <v>6984.8</v>
      </c>
      <c r="H45" s="564" t="s">
        <v>1843</v>
      </c>
      <c r="I45" s="963">
        <v>148.35</v>
      </c>
    </row>
    <row r="46" spans="1:9" ht="15.75" customHeight="1">
      <c r="A46" s="966" t="s">
        <v>379</v>
      </c>
      <c r="B46" s="960">
        <v>110</v>
      </c>
      <c r="C46" s="959">
        <v>5486.5</v>
      </c>
      <c r="D46" s="960">
        <v>0</v>
      </c>
      <c r="E46" s="961">
        <v>0</v>
      </c>
      <c r="F46" s="962">
        <v>110</v>
      </c>
      <c r="G46" s="961">
        <v>5486.5</v>
      </c>
      <c r="H46" s="564" t="s">
        <v>1844</v>
      </c>
      <c r="I46" s="963">
        <v>197.41</v>
      </c>
    </row>
    <row r="47" spans="1:9" ht="15.75" customHeight="1">
      <c r="A47" s="966" t="s">
        <v>19</v>
      </c>
      <c r="B47" s="958">
        <v>3665</v>
      </c>
      <c r="C47" s="959" t="s">
        <v>1845</v>
      </c>
      <c r="D47" s="960">
        <v>656</v>
      </c>
      <c r="E47" s="961">
        <v>32724.5</v>
      </c>
      <c r="F47" s="962">
        <v>4321</v>
      </c>
      <c r="G47" s="961" t="s">
        <v>1846</v>
      </c>
      <c r="H47" s="564" t="s">
        <v>1847</v>
      </c>
      <c r="I47" s="963">
        <v>169.72</v>
      </c>
    </row>
    <row r="48" spans="1:9" ht="15.75" customHeight="1">
      <c r="A48" s="966"/>
      <c r="B48" s="831"/>
      <c r="C48" s="832"/>
      <c r="D48" s="831"/>
      <c r="E48" s="833"/>
      <c r="F48" s="831"/>
      <c r="G48" s="832"/>
      <c r="H48" s="968"/>
      <c r="I48" s="835"/>
    </row>
    <row r="49" spans="1:9" ht="15.75" customHeight="1">
      <c r="A49" s="966" t="s">
        <v>62</v>
      </c>
      <c r="B49" s="838"/>
      <c r="C49" s="837"/>
      <c r="D49" s="838"/>
      <c r="E49" s="837"/>
      <c r="F49" s="838"/>
      <c r="G49" s="837"/>
      <c r="H49" s="969"/>
      <c r="I49" s="839"/>
    </row>
    <row r="50" spans="1:9" ht="15.75" customHeight="1">
      <c r="A50" s="966" t="s">
        <v>63</v>
      </c>
      <c r="B50" s="838"/>
      <c r="C50" s="837"/>
      <c r="D50" s="838"/>
      <c r="E50" s="837"/>
      <c r="F50" s="838"/>
      <c r="G50" s="840" t="s">
        <v>64</v>
      </c>
      <c r="H50" s="841"/>
      <c r="I50" s="842"/>
    </row>
    <row r="51" spans="1:9" ht="15.75" customHeight="1">
      <c r="A51" s="966" t="s">
        <v>157</v>
      </c>
      <c r="B51" s="838"/>
      <c r="C51" s="837"/>
      <c r="D51" s="838"/>
      <c r="E51" s="837"/>
      <c r="F51" s="838"/>
      <c r="G51" s="837"/>
      <c r="H51" s="841" t="s">
        <v>66</v>
      </c>
      <c r="I51" s="843"/>
    </row>
    <row r="52" spans="1:9" ht="15.75" customHeight="1">
      <c r="A52" s="966" t="s">
        <v>158</v>
      </c>
      <c r="B52" s="838"/>
      <c r="C52" s="837"/>
      <c r="D52" s="838"/>
      <c r="E52" s="837"/>
      <c r="F52" s="838"/>
      <c r="G52" s="844"/>
      <c r="H52" s="841"/>
      <c r="I52" s="843"/>
    </row>
    <row r="53" spans="1:9" ht="15.75" customHeight="1">
      <c r="A53" s="966" t="s">
        <v>159</v>
      </c>
      <c r="B53" s="838"/>
      <c r="C53" s="837"/>
      <c r="D53" s="838"/>
      <c r="E53" s="837"/>
      <c r="F53" s="838"/>
      <c r="G53" s="844"/>
      <c r="H53" s="841"/>
      <c r="I53" s="843"/>
    </row>
    <row r="54" spans="2:9" ht="15.75" customHeight="1">
      <c r="B54" s="762"/>
      <c r="C54" s="837"/>
      <c r="D54" s="838"/>
      <c r="E54" s="837"/>
      <c r="F54" s="838"/>
      <c r="G54" s="837"/>
      <c r="H54" s="969"/>
      <c r="I54" s="839"/>
    </row>
    <row r="55" spans="3:9" ht="15.75" customHeight="1">
      <c r="C55" s="399"/>
      <c r="D55" s="388"/>
      <c r="E55" s="399"/>
      <c r="F55" s="388"/>
      <c r="G55" s="399"/>
      <c r="H55" s="970"/>
      <c r="I55" s="391"/>
    </row>
    <row r="56" spans="3:9" ht="15.75" customHeight="1">
      <c r="C56" s="399"/>
      <c r="D56" s="388"/>
      <c r="E56" s="399"/>
      <c r="F56" s="388"/>
      <c r="G56" s="399"/>
      <c r="H56" s="970"/>
      <c r="I56" s="391"/>
    </row>
    <row r="57" spans="3:9" ht="15.75" customHeight="1">
      <c r="C57" s="399"/>
      <c r="D57" s="388"/>
      <c r="E57" s="399"/>
      <c r="F57" s="388"/>
      <c r="G57" s="399"/>
      <c r="H57" s="970"/>
      <c r="I57" s="391"/>
    </row>
    <row r="58" spans="3:9" ht="15.75" customHeight="1">
      <c r="C58" s="399"/>
      <c r="D58" s="388"/>
      <c r="E58" s="399"/>
      <c r="F58" s="388"/>
      <c r="G58" s="399"/>
      <c r="H58" s="970"/>
      <c r="I58" s="391"/>
    </row>
    <row r="59" spans="3:9" ht="15.75" customHeight="1">
      <c r="C59" s="399"/>
      <c r="D59" s="388"/>
      <c r="E59" s="399"/>
      <c r="F59" s="388"/>
      <c r="G59" s="399"/>
      <c r="H59" s="970"/>
      <c r="I59" s="391"/>
    </row>
    <row r="60" spans="3:9" ht="15.75" customHeight="1">
      <c r="C60" s="399"/>
      <c r="D60" s="388"/>
      <c r="E60" s="399"/>
      <c r="F60" s="388"/>
      <c r="G60" s="399"/>
      <c r="H60" s="970"/>
      <c r="I60" s="391"/>
    </row>
    <row r="61" spans="3:9" ht="15.75" customHeight="1">
      <c r="C61" s="399"/>
      <c r="D61" s="388"/>
      <c r="E61" s="399"/>
      <c r="F61" s="388"/>
      <c r="G61" s="399"/>
      <c r="H61" s="970"/>
      <c r="I61" s="391"/>
    </row>
    <row r="62" spans="3:9" ht="15.75" customHeight="1">
      <c r="C62" s="399"/>
      <c r="D62" s="388"/>
      <c r="E62" s="399"/>
      <c r="F62" s="388"/>
      <c r="G62" s="399"/>
      <c r="H62" s="970"/>
      <c r="I62" s="391"/>
    </row>
    <row r="63" spans="3:9" ht="15.75" customHeight="1">
      <c r="C63" s="399"/>
      <c r="D63" s="388"/>
      <c r="E63" s="399"/>
      <c r="F63" s="388"/>
      <c r="G63" s="399"/>
      <c r="H63" s="970"/>
      <c r="I63" s="391"/>
    </row>
    <row r="64" spans="3:9" ht="15.75" customHeight="1">
      <c r="C64" s="399"/>
      <c r="D64" s="388"/>
      <c r="E64" s="399"/>
      <c r="F64" s="388"/>
      <c r="G64" s="399"/>
      <c r="H64" s="970"/>
      <c r="I64" s="391"/>
    </row>
    <row r="65" spans="3:9" ht="15.75" customHeight="1">
      <c r="C65" s="399"/>
      <c r="D65" s="388"/>
      <c r="E65" s="399"/>
      <c r="F65" s="388"/>
      <c r="G65" s="399"/>
      <c r="H65" s="970"/>
      <c r="I65" s="391"/>
    </row>
    <row r="66" spans="3:9" ht="15.75" customHeight="1">
      <c r="C66" s="399"/>
      <c r="D66" s="388"/>
      <c r="E66" s="399"/>
      <c r="F66" s="388"/>
      <c r="G66" s="399"/>
      <c r="H66" s="970"/>
      <c r="I66" s="391"/>
    </row>
    <row r="67" spans="3:9" ht="15.75" customHeight="1">
      <c r="C67" s="399"/>
      <c r="D67" s="388"/>
      <c r="E67" s="399"/>
      <c r="F67" s="388"/>
      <c r="G67" s="399"/>
      <c r="H67" s="970"/>
      <c r="I67" s="391"/>
    </row>
    <row r="68" spans="3:9" ht="15.75" customHeight="1">
      <c r="C68" s="399"/>
      <c r="D68" s="388"/>
      <c r="E68" s="399"/>
      <c r="F68" s="388"/>
      <c r="G68" s="399"/>
      <c r="H68" s="970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28">
      <selection activeCell="C36" sqref="C36"/>
    </sheetView>
  </sheetViews>
  <sheetFormatPr defaultColWidth="9.140625" defaultRowHeight="19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9.5" customHeight="1">
      <c r="A1" s="105" t="s">
        <v>1773</v>
      </c>
      <c r="B1" s="368"/>
      <c r="C1" s="395"/>
      <c r="D1" s="368"/>
      <c r="E1" s="395"/>
      <c r="F1" s="368"/>
      <c r="G1" s="402"/>
      <c r="H1" s="369"/>
      <c r="I1" s="392"/>
    </row>
    <row r="2" spans="1:9" ht="19.5" customHeight="1">
      <c r="A2" s="111" t="s">
        <v>1774</v>
      </c>
      <c r="B2" s="368"/>
      <c r="C2" s="395"/>
      <c r="D2" s="368"/>
      <c r="E2" s="395"/>
      <c r="F2" s="368"/>
      <c r="G2" s="402"/>
      <c r="H2" s="369"/>
      <c r="I2" s="392"/>
    </row>
    <row r="3" spans="1:9" ht="19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9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9.5" customHeight="1">
      <c r="A5" s="105" t="s">
        <v>9</v>
      </c>
      <c r="B5" s="368"/>
      <c r="C5" s="395"/>
      <c r="D5" s="368"/>
      <c r="E5" s="854" t="s">
        <v>1807</v>
      </c>
      <c r="F5" s="368"/>
      <c r="G5" s="402"/>
      <c r="H5" s="369"/>
      <c r="I5" s="392"/>
    </row>
    <row r="6" spans="1:9" ht="19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9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9.5" customHeight="1">
      <c r="A8" s="114" t="s">
        <v>1775</v>
      </c>
      <c r="B8" s="370"/>
      <c r="C8" s="397"/>
      <c r="D8" s="370"/>
      <c r="E8" s="397"/>
      <c r="F8" s="370"/>
      <c r="G8" s="403"/>
      <c r="H8" s="371"/>
      <c r="I8" s="393"/>
    </row>
    <row r="9" spans="1:9" ht="19.5" customHeight="1">
      <c r="A9" s="114"/>
      <c r="B9" s="370"/>
      <c r="C9" s="397" t="s">
        <v>1776</v>
      </c>
      <c r="D9" s="370"/>
      <c r="E9" s="397"/>
      <c r="F9" s="370"/>
      <c r="G9" s="403"/>
      <c r="H9" s="371"/>
      <c r="I9" s="393"/>
    </row>
    <row r="10" spans="1:9" ht="19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9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9.5" customHeight="1">
      <c r="A12" s="131" t="s">
        <v>994</v>
      </c>
      <c r="B12" s="375">
        <v>175</v>
      </c>
      <c r="C12" s="374">
        <v>8724.5</v>
      </c>
      <c r="D12" s="375">
        <v>0</v>
      </c>
      <c r="E12" s="374">
        <v>0</v>
      </c>
      <c r="F12" s="375">
        <v>175</v>
      </c>
      <c r="G12" s="374">
        <v>8724.5</v>
      </c>
      <c r="H12" s="376" t="s">
        <v>1804</v>
      </c>
      <c r="I12" s="376">
        <v>113.77</v>
      </c>
    </row>
    <row r="13" spans="1:9" ht="19.5" customHeight="1">
      <c r="A13" s="105" t="s">
        <v>19</v>
      </c>
      <c r="B13" s="377">
        <f>SUM(B12)</f>
        <v>175</v>
      </c>
      <c r="C13" s="378">
        <f aca="true" t="shared" si="0" ref="C13:I13">SUM(C12)</f>
        <v>8724.5</v>
      </c>
      <c r="D13" s="377">
        <f t="shared" si="0"/>
        <v>0</v>
      </c>
      <c r="E13" s="378">
        <f t="shared" si="0"/>
        <v>0</v>
      </c>
      <c r="F13" s="377">
        <f t="shared" si="0"/>
        <v>175</v>
      </c>
      <c r="G13" s="378">
        <f>SUM(G12)</f>
        <v>8724.5</v>
      </c>
      <c r="H13" s="379" t="str">
        <f>H12</f>
        <v>9,92,612.50</v>
      </c>
      <c r="I13" s="379">
        <f t="shared" si="0"/>
        <v>113.77</v>
      </c>
    </row>
    <row r="14" spans="1:9" ht="19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9.5" customHeight="1">
      <c r="A15" s="131" t="s">
        <v>347</v>
      </c>
      <c r="B15" s="132">
        <v>20</v>
      </c>
      <c r="C15" s="133">
        <v>997</v>
      </c>
      <c r="D15" s="132">
        <v>0</v>
      </c>
      <c r="E15" s="133">
        <v>0</v>
      </c>
      <c r="F15" s="132">
        <v>20</v>
      </c>
      <c r="G15" s="133">
        <v>997</v>
      </c>
      <c r="H15" s="134" t="s">
        <v>708</v>
      </c>
      <c r="I15" s="134">
        <v>145</v>
      </c>
    </row>
    <row r="16" spans="1:9" ht="19.5" customHeight="1">
      <c r="A16" s="131" t="s">
        <v>36</v>
      </c>
      <c r="B16" s="226">
        <v>1160</v>
      </c>
      <c r="C16" s="133">
        <v>57810</v>
      </c>
      <c r="D16" s="132">
        <v>35</v>
      </c>
      <c r="E16" s="133">
        <v>1746.1</v>
      </c>
      <c r="F16" s="226">
        <v>1195</v>
      </c>
      <c r="G16" s="133">
        <v>59556.1</v>
      </c>
      <c r="H16" s="134" t="s">
        <v>1777</v>
      </c>
      <c r="I16" s="134">
        <v>172.99</v>
      </c>
    </row>
    <row r="17" spans="1:9" ht="19.5" customHeight="1">
      <c r="A17" s="131" t="s">
        <v>490</v>
      </c>
      <c r="B17" s="132">
        <v>72</v>
      </c>
      <c r="C17" s="133">
        <v>3591</v>
      </c>
      <c r="D17" s="132">
        <v>0</v>
      </c>
      <c r="E17" s="133">
        <v>0</v>
      </c>
      <c r="F17" s="132">
        <v>72</v>
      </c>
      <c r="G17" s="133">
        <v>3591</v>
      </c>
      <c r="H17" s="134" t="s">
        <v>1778</v>
      </c>
      <c r="I17" s="134">
        <v>230.76</v>
      </c>
    </row>
    <row r="18" spans="1:9" ht="19.5" customHeight="1">
      <c r="A18" s="131" t="s">
        <v>132</v>
      </c>
      <c r="B18" s="132">
        <v>40</v>
      </c>
      <c r="C18" s="133">
        <v>1997</v>
      </c>
      <c r="D18" s="132">
        <v>50</v>
      </c>
      <c r="E18" s="133">
        <v>2494.4</v>
      </c>
      <c r="F18" s="132">
        <v>90</v>
      </c>
      <c r="G18" s="133">
        <v>4491.4</v>
      </c>
      <c r="H18" s="134" t="s">
        <v>1779</v>
      </c>
      <c r="I18" s="134">
        <v>138.78</v>
      </c>
    </row>
    <row r="19" spans="1:9" ht="19.5" customHeight="1">
      <c r="A19" s="131" t="s">
        <v>213</v>
      </c>
      <c r="B19" s="132">
        <v>71</v>
      </c>
      <c r="C19" s="133">
        <v>3542.5</v>
      </c>
      <c r="D19" s="132">
        <v>122</v>
      </c>
      <c r="E19" s="133">
        <v>6088.3</v>
      </c>
      <c r="F19" s="132">
        <v>193</v>
      </c>
      <c r="G19" s="133">
        <v>9630.8</v>
      </c>
      <c r="H19" s="134" t="s">
        <v>1780</v>
      </c>
      <c r="I19" s="134">
        <v>172.69</v>
      </c>
    </row>
    <row r="20" spans="1:9" ht="19.5" customHeight="1">
      <c r="A20" s="131" t="s">
        <v>586</v>
      </c>
      <c r="B20" s="104"/>
      <c r="C20" s="133">
        <v>0</v>
      </c>
      <c r="D20" s="132">
        <v>35</v>
      </c>
      <c r="E20" s="133">
        <v>1745.8</v>
      </c>
      <c r="F20" s="132">
        <v>35</v>
      </c>
      <c r="G20" s="133">
        <v>1745.8</v>
      </c>
      <c r="H20" s="134">
        <v>332964.6</v>
      </c>
      <c r="I20" s="134">
        <v>190.7232214457555</v>
      </c>
    </row>
    <row r="21" spans="1:9" ht="19.5" customHeight="1">
      <c r="A21" s="131" t="s">
        <v>38</v>
      </c>
      <c r="B21" s="132">
        <v>60</v>
      </c>
      <c r="C21" s="133">
        <v>2995.5</v>
      </c>
      <c r="D21" s="132">
        <v>0</v>
      </c>
      <c r="E21" s="133">
        <v>0</v>
      </c>
      <c r="F21" s="132">
        <v>60</v>
      </c>
      <c r="G21" s="133">
        <v>2995.5</v>
      </c>
      <c r="H21" s="134" t="s">
        <v>1781</v>
      </c>
      <c r="I21" s="134">
        <v>134.84</v>
      </c>
    </row>
    <row r="22" spans="1:9" ht="19.5" customHeight="1">
      <c r="A22" s="131" t="s">
        <v>74</v>
      </c>
      <c r="B22" s="104"/>
      <c r="C22" s="133">
        <v>0</v>
      </c>
      <c r="D22" s="132">
        <v>30</v>
      </c>
      <c r="E22" s="133">
        <v>1497.6</v>
      </c>
      <c r="F22" s="132">
        <v>30</v>
      </c>
      <c r="G22" s="133">
        <v>1497.6</v>
      </c>
      <c r="H22" s="134" t="s">
        <v>1782</v>
      </c>
      <c r="I22" s="134">
        <v>191</v>
      </c>
    </row>
    <row r="23" spans="1:9" ht="19.5" customHeight="1">
      <c r="A23" s="131" t="s">
        <v>219</v>
      </c>
      <c r="B23" s="132">
        <v>10</v>
      </c>
      <c r="C23" s="133">
        <v>498.5</v>
      </c>
      <c r="D23" s="132">
        <v>0</v>
      </c>
      <c r="E23" s="133">
        <v>0</v>
      </c>
      <c r="F23" s="132">
        <v>10</v>
      </c>
      <c r="G23" s="133">
        <v>498.5</v>
      </c>
      <c r="H23" s="134" t="s">
        <v>679</v>
      </c>
      <c r="I23" s="134">
        <v>268</v>
      </c>
    </row>
    <row r="24" spans="1:9" ht="19.5" customHeight="1">
      <c r="A24" s="131" t="s">
        <v>40</v>
      </c>
      <c r="B24" s="132">
        <v>30</v>
      </c>
      <c r="C24" s="133">
        <v>1500</v>
      </c>
      <c r="D24" s="132">
        <v>0</v>
      </c>
      <c r="E24" s="133">
        <v>0</v>
      </c>
      <c r="F24" s="132">
        <v>30</v>
      </c>
      <c r="G24" s="133">
        <v>1500</v>
      </c>
      <c r="H24" s="134" t="s">
        <v>1783</v>
      </c>
      <c r="I24" s="134">
        <v>144</v>
      </c>
    </row>
    <row r="25" spans="1:9" ht="19.5" customHeight="1">
      <c r="A25" s="131" t="s">
        <v>41</v>
      </c>
      <c r="B25" s="132">
        <v>50</v>
      </c>
      <c r="C25" s="133">
        <v>2488</v>
      </c>
      <c r="D25" s="132">
        <v>20</v>
      </c>
      <c r="E25" s="133">
        <v>998.4</v>
      </c>
      <c r="F25" s="132">
        <v>70</v>
      </c>
      <c r="G25" s="133">
        <v>3486.4</v>
      </c>
      <c r="H25" s="134">
        <v>542045</v>
      </c>
      <c r="I25" s="134">
        <v>155.4741280403855</v>
      </c>
    </row>
    <row r="26" spans="1:9" ht="19.5" customHeight="1">
      <c r="A26" s="131" t="s">
        <v>1784</v>
      </c>
      <c r="B26" s="104"/>
      <c r="C26" s="133">
        <v>0</v>
      </c>
      <c r="D26" s="132">
        <v>22</v>
      </c>
      <c r="E26" s="133">
        <v>1097.1</v>
      </c>
      <c r="F26" s="132">
        <v>22</v>
      </c>
      <c r="G26" s="133">
        <v>1097.1</v>
      </c>
      <c r="H26" s="134" t="s">
        <v>1785</v>
      </c>
      <c r="I26" s="134">
        <v>137.69</v>
      </c>
    </row>
    <row r="27" spans="1:9" ht="19.5" customHeight="1">
      <c r="A27" s="131" t="s">
        <v>1784</v>
      </c>
      <c r="B27" s="104"/>
      <c r="C27" s="133">
        <v>0</v>
      </c>
      <c r="D27" s="132">
        <v>10</v>
      </c>
      <c r="E27" s="133">
        <v>498.4</v>
      </c>
      <c r="F27" s="132">
        <v>10</v>
      </c>
      <c r="G27" s="133">
        <v>498.4</v>
      </c>
      <c r="H27" s="134">
        <v>87220</v>
      </c>
      <c r="I27" s="134">
        <v>175</v>
      </c>
    </row>
    <row r="28" spans="1:9" ht="19.5" customHeight="1">
      <c r="A28" s="131" t="s">
        <v>174</v>
      </c>
      <c r="B28" s="132">
        <v>40</v>
      </c>
      <c r="C28" s="133">
        <v>1994</v>
      </c>
      <c r="D28" s="132">
        <v>0</v>
      </c>
      <c r="E28" s="133">
        <v>0</v>
      </c>
      <c r="F28" s="132">
        <v>40</v>
      </c>
      <c r="G28" s="133">
        <v>1994</v>
      </c>
      <c r="H28" s="134" t="s">
        <v>1786</v>
      </c>
      <c r="I28" s="134">
        <v>150.25</v>
      </c>
    </row>
    <row r="29" spans="1:9" ht="19.5" customHeight="1">
      <c r="A29" s="131" t="s">
        <v>176</v>
      </c>
      <c r="B29" s="132">
        <v>40</v>
      </c>
      <c r="C29" s="133">
        <v>1994</v>
      </c>
      <c r="D29" s="132">
        <v>0</v>
      </c>
      <c r="E29" s="133">
        <v>0</v>
      </c>
      <c r="F29" s="132">
        <v>40</v>
      </c>
      <c r="G29" s="133">
        <v>1994</v>
      </c>
      <c r="H29" s="134" t="s">
        <v>1787</v>
      </c>
      <c r="I29" s="134">
        <v>115.75</v>
      </c>
    </row>
    <row r="30" spans="1:9" ht="19.5" customHeight="1">
      <c r="A30" s="131" t="s">
        <v>42</v>
      </c>
      <c r="B30" s="132">
        <v>200</v>
      </c>
      <c r="C30" s="133">
        <v>9985</v>
      </c>
      <c r="D30" s="132">
        <v>15</v>
      </c>
      <c r="E30" s="133">
        <v>748.7</v>
      </c>
      <c r="F30" s="132">
        <v>215</v>
      </c>
      <c r="G30" s="133">
        <v>10733.7</v>
      </c>
      <c r="H30" s="134" t="s">
        <v>1788</v>
      </c>
      <c r="I30" s="134">
        <v>177.29</v>
      </c>
    </row>
    <row r="31" spans="1:9" ht="19.5" customHeight="1">
      <c r="A31" s="131" t="s">
        <v>178</v>
      </c>
      <c r="B31" s="132">
        <v>326</v>
      </c>
      <c r="C31" s="133">
        <v>16244.5</v>
      </c>
      <c r="D31" s="132">
        <v>0</v>
      </c>
      <c r="E31" s="133">
        <v>0</v>
      </c>
      <c r="F31" s="132">
        <v>326</v>
      </c>
      <c r="G31" s="133">
        <v>16244.5</v>
      </c>
      <c r="H31" s="134" t="s">
        <v>1789</v>
      </c>
      <c r="I31" s="134">
        <v>131.9</v>
      </c>
    </row>
    <row r="32" spans="1:9" ht="19.5" customHeight="1">
      <c r="A32" s="131" t="s">
        <v>43</v>
      </c>
      <c r="B32" s="132">
        <v>655</v>
      </c>
      <c r="C32" s="133">
        <v>32690</v>
      </c>
      <c r="D32" s="132">
        <v>270</v>
      </c>
      <c r="E32" s="133">
        <v>13480</v>
      </c>
      <c r="F32" s="132">
        <v>925</v>
      </c>
      <c r="G32" s="133">
        <v>46170</v>
      </c>
      <c r="H32" s="134" t="s">
        <v>1790</v>
      </c>
      <c r="I32" s="134">
        <v>194.91</v>
      </c>
    </row>
    <row r="33" spans="1:9" ht="19.5" customHeight="1">
      <c r="A33" s="131" t="s">
        <v>45</v>
      </c>
      <c r="B33" s="132">
        <v>31</v>
      </c>
      <c r="C33" s="133">
        <v>1545.5</v>
      </c>
      <c r="D33" s="132">
        <v>75</v>
      </c>
      <c r="E33" s="133">
        <v>3739.6</v>
      </c>
      <c r="F33" s="132">
        <v>106</v>
      </c>
      <c r="G33" s="133">
        <v>5285.1</v>
      </c>
      <c r="H33" s="134" t="s">
        <v>1791</v>
      </c>
      <c r="I33" s="134">
        <v>179.96</v>
      </c>
    </row>
    <row r="34" spans="1:9" ht="19.5" customHeight="1">
      <c r="A34" s="131" t="s">
        <v>183</v>
      </c>
      <c r="B34" s="132">
        <v>101</v>
      </c>
      <c r="C34" s="133">
        <v>5033.5</v>
      </c>
      <c r="D34" s="132">
        <v>0</v>
      </c>
      <c r="E34" s="133">
        <v>0</v>
      </c>
      <c r="F34" s="132">
        <v>121</v>
      </c>
      <c r="G34" s="133">
        <v>5033.5</v>
      </c>
      <c r="H34" s="134">
        <v>934001</v>
      </c>
      <c r="I34" s="134">
        <v>185.55696831230753</v>
      </c>
    </row>
    <row r="35" spans="1:9" ht="19.5" customHeight="1">
      <c r="A35" s="131" t="s">
        <v>55</v>
      </c>
      <c r="B35" s="104"/>
      <c r="C35" s="133">
        <v>0</v>
      </c>
      <c r="D35" s="132">
        <v>30</v>
      </c>
      <c r="E35" s="133">
        <v>1497.6</v>
      </c>
      <c r="F35" s="132">
        <v>30</v>
      </c>
      <c r="G35" s="133">
        <v>1497.6</v>
      </c>
      <c r="H35" s="134" t="s">
        <v>1792</v>
      </c>
      <c r="I35" s="134">
        <v>129.33</v>
      </c>
    </row>
    <row r="36" spans="1:9" ht="19.5" customHeight="1">
      <c r="A36" s="131" t="s">
        <v>186</v>
      </c>
      <c r="B36" s="132">
        <v>10</v>
      </c>
      <c r="C36" s="133">
        <v>498.5</v>
      </c>
      <c r="D36" s="132">
        <v>35</v>
      </c>
      <c r="E36" s="133">
        <v>1746.8</v>
      </c>
      <c r="F36" s="132">
        <v>45</v>
      </c>
      <c r="G36" s="133">
        <v>2245.3</v>
      </c>
      <c r="H36" s="134" t="s">
        <v>1793</v>
      </c>
      <c r="I36" s="134">
        <v>149.89</v>
      </c>
    </row>
    <row r="37" spans="1:9" ht="19.5" customHeight="1">
      <c r="A37" s="131" t="s">
        <v>400</v>
      </c>
      <c r="B37" s="104"/>
      <c r="C37" s="133">
        <v>0</v>
      </c>
      <c r="D37" s="132">
        <v>38</v>
      </c>
      <c r="E37" s="133">
        <v>1896.3</v>
      </c>
      <c r="F37" s="132">
        <v>38</v>
      </c>
      <c r="G37" s="133">
        <v>1896.3</v>
      </c>
      <c r="H37" s="134" t="s">
        <v>1794</v>
      </c>
      <c r="I37" s="134">
        <v>165.33</v>
      </c>
    </row>
    <row r="38" spans="1:9" ht="19.5" customHeight="1">
      <c r="A38" s="131" t="s">
        <v>403</v>
      </c>
      <c r="B38" s="132">
        <v>20</v>
      </c>
      <c r="C38" s="133">
        <v>997</v>
      </c>
      <c r="D38" s="132">
        <v>0</v>
      </c>
      <c r="E38" s="133">
        <v>0</v>
      </c>
      <c r="F38" s="132">
        <v>20</v>
      </c>
      <c r="G38" s="133">
        <v>997</v>
      </c>
      <c r="H38" s="134" t="s">
        <v>1795</v>
      </c>
      <c r="I38" s="134">
        <v>150.5</v>
      </c>
    </row>
    <row r="39" spans="1:9" ht="19.5" customHeight="1">
      <c r="A39" s="131" t="s">
        <v>46</v>
      </c>
      <c r="B39" s="132">
        <v>572</v>
      </c>
      <c r="C39" s="133">
        <v>28517.5</v>
      </c>
      <c r="D39" s="132">
        <v>93</v>
      </c>
      <c r="E39" s="133">
        <v>4640</v>
      </c>
      <c r="F39" s="132">
        <v>665</v>
      </c>
      <c r="G39" s="133">
        <v>33157.5</v>
      </c>
      <c r="H39" s="134" t="s">
        <v>1796</v>
      </c>
      <c r="I39" s="134">
        <v>157.63</v>
      </c>
    </row>
    <row r="40" spans="1:9" ht="19.5" customHeight="1">
      <c r="A40" s="131" t="s">
        <v>194</v>
      </c>
      <c r="B40" s="104"/>
      <c r="C40" s="133">
        <v>0</v>
      </c>
      <c r="D40" s="132">
        <v>25</v>
      </c>
      <c r="E40" s="133">
        <v>1246</v>
      </c>
      <c r="F40" s="132">
        <v>25</v>
      </c>
      <c r="G40" s="133">
        <v>1246</v>
      </c>
      <c r="H40" s="134" t="s">
        <v>1797</v>
      </c>
      <c r="I40" s="134">
        <v>182</v>
      </c>
    </row>
    <row r="41" spans="1:9" ht="19.5" customHeight="1">
      <c r="A41" s="131" t="s">
        <v>50</v>
      </c>
      <c r="B41" s="132">
        <v>9</v>
      </c>
      <c r="C41" s="133">
        <v>85</v>
      </c>
      <c r="D41" s="132">
        <v>0</v>
      </c>
      <c r="E41" s="133">
        <v>0</v>
      </c>
      <c r="F41" s="132">
        <v>9</v>
      </c>
      <c r="G41" s="133">
        <v>85</v>
      </c>
      <c r="H41" s="134">
        <v>30000</v>
      </c>
      <c r="I41" s="134">
        <v>352.94</v>
      </c>
    </row>
    <row r="42" spans="1:9" ht="19.5" customHeight="1">
      <c r="A42" s="131" t="s">
        <v>51</v>
      </c>
      <c r="B42" s="104">
        <v>192</v>
      </c>
      <c r="C42" s="133">
        <v>9577.5</v>
      </c>
      <c r="D42" s="132">
        <v>75</v>
      </c>
      <c r="E42" s="133">
        <v>3742.8</v>
      </c>
      <c r="F42" s="132">
        <v>267</v>
      </c>
      <c r="G42" s="133">
        <v>13320.3</v>
      </c>
      <c r="H42" s="134">
        <v>2102069.1</v>
      </c>
      <c r="I42" s="134">
        <v>157.80944122880118</v>
      </c>
    </row>
    <row r="43" spans="1:9" ht="19.5" customHeight="1">
      <c r="A43" s="131" t="s">
        <v>52</v>
      </c>
      <c r="B43" s="132">
        <v>20</v>
      </c>
      <c r="C43" s="133">
        <v>998.5</v>
      </c>
      <c r="D43" s="132">
        <v>0</v>
      </c>
      <c r="E43" s="133">
        <v>0</v>
      </c>
      <c r="F43" s="132">
        <v>20</v>
      </c>
      <c r="G43" s="133">
        <v>998.5</v>
      </c>
      <c r="H43" s="134" t="s">
        <v>1798</v>
      </c>
      <c r="I43" s="134">
        <v>121</v>
      </c>
    </row>
    <row r="44" spans="1:9" ht="19.5" customHeight="1">
      <c r="A44" s="131" t="s">
        <v>1624</v>
      </c>
      <c r="B44" s="132">
        <v>141</v>
      </c>
      <c r="C44" s="133">
        <v>7029</v>
      </c>
      <c r="D44" s="132">
        <v>0</v>
      </c>
      <c r="E44" s="133">
        <v>0</v>
      </c>
      <c r="F44" s="132">
        <v>141</v>
      </c>
      <c r="G44" s="133">
        <v>7029</v>
      </c>
      <c r="H44" s="134" t="s">
        <v>1799</v>
      </c>
      <c r="I44" s="134">
        <v>162.22</v>
      </c>
    </row>
    <row r="45" spans="1:9" ht="19.5" customHeight="1">
      <c r="A45" s="131" t="s">
        <v>411</v>
      </c>
      <c r="B45" s="104"/>
      <c r="C45" s="133">
        <v>0</v>
      </c>
      <c r="D45" s="132">
        <v>6</v>
      </c>
      <c r="E45" s="133">
        <v>299.5</v>
      </c>
      <c r="F45" s="132">
        <v>6</v>
      </c>
      <c r="G45" s="133">
        <v>299.5</v>
      </c>
      <c r="H45" s="134">
        <v>74875</v>
      </c>
      <c r="I45" s="134">
        <v>250</v>
      </c>
    </row>
    <row r="46" spans="1:9" ht="19.5" customHeight="1">
      <c r="A46" s="131" t="s">
        <v>198</v>
      </c>
      <c r="B46" s="132">
        <v>160</v>
      </c>
      <c r="C46" s="133">
        <v>7976</v>
      </c>
      <c r="D46" s="132">
        <v>30</v>
      </c>
      <c r="E46" s="133">
        <v>1497.6</v>
      </c>
      <c r="F46" s="132">
        <v>190</v>
      </c>
      <c r="G46" s="133">
        <v>9473.6</v>
      </c>
      <c r="H46" s="134">
        <v>1481927</v>
      </c>
      <c r="I46" s="134">
        <v>156.42701824016214</v>
      </c>
    </row>
    <row r="47" spans="1:9" ht="19.5" customHeight="1">
      <c r="A47" s="131" t="s">
        <v>707</v>
      </c>
      <c r="B47" s="132">
        <v>51</v>
      </c>
      <c r="C47" s="133">
        <v>2545.5</v>
      </c>
      <c r="D47" s="132">
        <v>0</v>
      </c>
      <c r="E47" s="133">
        <v>0</v>
      </c>
      <c r="F47" s="132">
        <v>51</v>
      </c>
      <c r="G47" s="133">
        <v>2545.5</v>
      </c>
      <c r="H47" s="134" t="s">
        <v>1800</v>
      </c>
      <c r="I47" s="134">
        <v>189.11</v>
      </c>
    </row>
    <row r="48" spans="1:9" ht="19.5" customHeight="1">
      <c r="A48" s="131" t="s">
        <v>374</v>
      </c>
      <c r="B48" s="132">
        <v>25</v>
      </c>
      <c r="C48" s="133">
        <v>1247</v>
      </c>
      <c r="D48" s="132">
        <v>0</v>
      </c>
      <c r="E48" s="133">
        <v>0</v>
      </c>
      <c r="F48" s="132">
        <f>B48+D48</f>
        <v>25</v>
      </c>
      <c r="G48" s="133">
        <f>C48+E48</f>
        <v>1247</v>
      </c>
      <c r="H48" s="134">
        <f>186298.5</f>
        <v>186298.5</v>
      </c>
      <c r="I48" s="134">
        <f>H48/G48</f>
        <v>149.39735364875702</v>
      </c>
    </row>
    <row r="49" spans="1:9" s="848" customFormat="1" ht="19.5" customHeight="1">
      <c r="A49" s="131" t="s">
        <v>53</v>
      </c>
      <c r="B49" s="132">
        <v>136</v>
      </c>
      <c r="C49" s="133">
        <v>6786.5</v>
      </c>
      <c r="D49" s="132">
        <v>35</v>
      </c>
      <c r="E49" s="133">
        <v>1747</v>
      </c>
      <c r="F49" s="132">
        <v>171</v>
      </c>
      <c r="G49" s="133">
        <v>8534.5</v>
      </c>
      <c r="H49" s="134">
        <v>1550859.6</v>
      </c>
      <c r="I49" s="134">
        <v>181.71651532017108</v>
      </c>
    </row>
    <row r="50" spans="1:9" ht="19.5" customHeight="1">
      <c r="A50" s="131" t="s">
        <v>201</v>
      </c>
      <c r="B50" s="132">
        <v>30</v>
      </c>
      <c r="C50" s="133">
        <v>1495.5</v>
      </c>
      <c r="D50" s="132">
        <v>20</v>
      </c>
      <c r="E50" s="133">
        <v>998.4</v>
      </c>
      <c r="F50" s="132">
        <v>50</v>
      </c>
      <c r="G50" s="133">
        <v>2493.9</v>
      </c>
      <c r="H50" s="134" t="s">
        <v>1801</v>
      </c>
      <c r="I50" s="134">
        <v>177.21</v>
      </c>
    </row>
    <row r="51" spans="1:9" ht="19.5" customHeight="1">
      <c r="A51" s="131" t="s">
        <v>54</v>
      </c>
      <c r="B51" s="132">
        <v>185</v>
      </c>
      <c r="C51" s="133">
        <v>9229</v>
      </c>
      <c r="D51" s="132">
        <v>25</v>
      </c>
      <c r="E51" s="133">
        <v>1247.5</v>
      </c>
      <c r="F51" s="132">
        <f>B51+D51</f>
        <v>210</v>
      </c>
      <c r="G51" s="133">
        <f>C51+E51</f>
        <v>10476.5</v>
      </c>
      <c r="H51" s="134">
        <v>1606995</v>
      </c>
      <c r="I51" s="134">
        <f>H51/G51</f>
        <v>153.3904452822985</v>
      </c>
    </row>
    <row r="52" spans="1:9" ht="19.5" customHeight="1">
      <c r="A52" s="131" t="s">
        <v>71</v>
      </c>
      <c r="B52" s="132">
        <v>105</v>
      </c>
      <c r="C52" s="133">
        <v>5230.5</v>
      </c>
      <c r="D52" s="132">
        <v>25</v>
      </c>
      <c r="E52" s="133">
        <v>1247.6</v>
      </c>
      <c r="F52" s="132">
        <v>130</v>
      </c>
      <c r="G52" s="133">
        <v>6478.1</v>
      </c>
      <c r="H52" s="134" t="s">
        <v>1802</v>
      </c>
      <c r="I52" s="134">
        <v>133.35</v>
      </c>
    </row>
    <row r="53" spans="1:9" ht="19.5" customHeight="1">
      <c r="A53" s="131" t="s">
        <v>243</v>
      </c>
      <c r="B53" s="132">
        <v>120</v>
      </c>
      <c r="C53" s="133">
        <v>5985</v>
      </c>
      <c r="D53" s="132">
        <v>0</v>
      </c>
      <c r="E53" s="133">
        <v>0</v>
      </c>
      <c r="F53" s="132">
        <v>120</v>
      </c>
      <c r="G53" s="133">
        <v>5985</v>
      </c>
      <c r="H53" s="134" t="s">
        <v>1803</v>
      </c>
      <c r="I53" s="134">
        <v>125.17</v>
      </c>
    </row>
    <row r="54" spans="1:9" ht="19.5" customHeight="1">
      <c r="A54" s="131" t="s">
        <v>874</v>
      </c>
      <c r="B54" s="104"/>
      <c r="C54" s="133">
        <v>0</v>
      </c>
      <c r="D54" s="132">
        <v>270</v>
      </c>
      <c r="E54" s="133">
        <v>13476</v>
      </c>
      <c r="F54" s="132">
        <v>270</v>
      </c>
      <c r="G54" s="133">
        <v>13476</v>
      </c>
      <c r="H54" s="134" t="s">
        <v>1805</v>
      </c>
      <c r="I54" s="134">
        <v>151.67</v>
      </c>
    </row>
    <row r="55" spans="1:9" ht="19.5" customHeight="1">
      <c r="A55" s="131" t="s">
        <v>379</v>
      </c>
      <c r="B55" s="132">
        <v>285</v>
      </c>
      <c r="C55" s="133">
        <v>14218.5</v>
      </c>
      <c r="D55" s="132">
        <v>0</v>
      </c>
      <c r="E55" s="133">
        <v>0</v>
      </c>
      <c r="F55" s="132">
        <v>285</v>
      </c>
      <c r="G55" s="133">
        <v>14218.5</v>
      </c>
      <c r="H55" s="134" t="s">
        <v>1806</v>
      </c>
      <c r="I55" s="134">
        <v>212.41</v>
      </c>
    </row>
    <row r="56" spans="1:9" ht="19.5" customHeight="1">
      <c r="A56" s="131" t="s">
        <v>57</v>
      </c>
      <c r="B56" s="375">
        <v>10</v>
      </c>
      <c r="C56" s="374">
        <v>498.5</v>
      </c>
      <c r="D56" s="375">
        <v>0</v>
      </c>
      <c r="E56" s="374">
        <v>0</v>
      </c>
      <c r="F56" s="375">
        <v>10</v>
      </c>
      <c r="G56" s="374">
        <v>498.5</v>
      </c>
      <c r="H56" s="376" t="s">
        <v>680</v>
      </c>
      <c r="I56" s="376">
        <v>300</v>
      </c>
    </row>
    <row r="57" spans="1:9" s="848" customFormat="1" ht="19.5" customHeight="1">
      <c r="A57" s="131" t="s">
        <v>19</v>
      </c>
      <c r="B57" s="375">
        <f>SUM(B15:B56)</f>
        <v>4977</v>
      </c>
      <c r="C57" s="375">
        <f>SUM(C15:C56)</f>
        <v>247821</v>
      </c>
      <c r="D57" s="375">
        <v>1391</v>
      </c>
      <c r="E57" s="374">
        <v>69417.3</v>
      </c>
      <c r="F57" s="375">
        <f>B57+D57</f>
        <v>6368</v>
      </c>
      <c r="G57" s="374">
        <f>C57+E57</f>
        <v>317238.3</v>
      </c>
      <c r="H57" s="376">
        <v>53666717</v>
      </c>
      <c r="I57" s="376">
        <f>H57/G57</f>
        <v>169.168467363493</v>
      </c>
    </row>
    <row r="58" spans="1:10" ht="19.5" customHeight="1">
      <c r="A58" s="131" t="s">
        <v>22</v>
      </c>
      <c r="B58" s="439">
        <f aca="true" t="shared" si="1" ref="B58:G58">B57+B13</f>
        <v>5152</v>
      </c>
      <c r="C58" s="374">
        <f t="shared" si="1"/>
        <v>256545.5</v>
      </c>
      <c r="D58" s="439">
        <f t="shared" si="1"/>
        <v>1391</v>
      </c>
      <c r="E58" s="374">
        <f t="shared" si="1"/>
        <v>69417.3</v>
      </c>
      <c r="F58" s="439">
        <f t="shared" si="1"/>
        <v>6543</v>
      </c>
      <c r="G58" s="374">
        <f t="shared" si="1"/>
        <v>325962.8</v>
      </c>
      <c r="H58" s="376">
        <f>53666717+992612.5</f>
        <v>54659329.5</v>
      </c>
      <c r="I58" s="376">
        <f>H58/G58</f>
        <v>167.68578960543965</v>
      </c>
      <c r="J58" s="849">
        <f>J57+J13</f>
        <v>0</v>
      </c>
    </row>
    <row r="59" spans="1:9" ht="19.5" customHeight="1">
      <c r="A59" s="755"/>
      <c r="B59" s="761"/>
      <c r="C59" s="765"/>
      <c r="D59" s="761"/>
      <c r="E59" s="757"/>
      <c r="F59" s="761"/>
      <c r="G59" s="765"/>
      <c r="H59" s="756"/>
      <c r="I59" s="747"/>
    </row>
    <row r="60" spans="1:9" ht="19.5" customHeight="1">
      <c r="A60" s="142" t="s">
        <v>62</v>
      </c>
      <c r="B60" s="388"/>
      <c r="C60" s="399"/>
      <c r="D60" s="388"/>
      <c r="E60" s="399"/>
      <c r="F60" s="388"/>
      <c r="G60" s="399"/>
      <c r="H60" s="391"/>
      <c r="I60" s="391"/>
    </row>
    <row r="61" spans="1:9" ht="19.5" customHeight="1">
      <c r="A61" s="142" t="s">
        <v>63</v>
      </c>
      <c r="B61" s="388"/>
      <c r="C61" s="399"/>
      <c r="D61" s="388"/>
      <c r="E61" s="399"/>
      <c r="F61" s="388"/>
      <c r="G61" s="406" t="s">
        <v>64</v>
      </c>
      <c r="H61" s="389"/>
      <c r="I61" s="409"/>
    </row>
    <row r="62" spans="1:9" ht="19.5" customHeight="1">
      <c r="A62" s="142" t="s">
        <v>157</v>
      </c>
      <c r="B62" s="388"/>
      <c r="C62" s="399"/>
      <c r="D62" s="388"/>
      <c r="E62" s="399"/>
      <c r="F62" s="388"/>
      <c r="G62" s="399"/>
      <c r="H62" s="389" t="s">
        <v>66</v>
      </c>
      <c r="I62" s="408"/>
    </row>
    <row r="63" spans="1:9" ht="19.5" customHeight="1">
      <c r="A63" s="142" t="s">
        <v>158</v>
      </c>
      <c r="B63" s="388"/>
      <c r="C63" s="399"/>
      <c r="D63" s="388"/>
      <c r="E63" s="399"/>
      <c r="F63" s="388"/>
      <c r="G63" s="405"/>
      <c r="H63" s="389"/>
      <c r="I63" s="408"/>
    </row>
    <row r="64" spans="1:9" ht="19.5" customHeight="1">
      <c r="A64" s="142" t="s">
        <v>159</v>
      </c>
      <c r="B64" s="388"/>
      <c r="C64" s="399"/>
      <c r="D64" s="388"/>
      <c r="E64" s="399"/>
      <c r="F64" s="388"/>
      <c r="G64" s="405"/>
      <c r="H64" s="389"/>
      <c r="I64" s="408"/>
    </row>
    <row r="65" spans="1:9" ht="19.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9.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9.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9.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9.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9.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9.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9.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9.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9.5" customHeight="1">
      <c r="A74" s="103"/>
      <c r="C74" s="399"/>
      <c r="D74" s="388"/>
      <c r="E74" s="399"/>
      <c r="F74" s="388"/>
      <c r="G74" s="399"/>
      <c r="H74" s="391"/>
      <c r="I74" s="391"/>
    </row>
    <row r="75" spans="1:9" ht="19.5" customHeight="1">
      <c r="A75" s="103"/>
      <c r="C75" s="399"/>
      <c r="D75" s="388"/>
      <c r="E75" s="399"/>
      <c r="F75" s="388"/>
      <c r="G75" s="399"/>
      <c r="H75" s="391"/>
      <c r="I75" s="391"/>
    </row>
    <row r="76" spans="1:9" ht="19.5" customHeight="1">
      <c r="A76" s="103"/>
      <c r="C76" s="399"/>
      <c r="D76" s="388"/>
      <c r="E76" s="399"/>
      <c r="F76" s="388"/>
      <c r="G76" s="399"/>
      <c r="H76" s="391"/>
      <c r="I76" s="391"/>
    </row>
    <row r="77" spans="1:9" ht="19.5" customHeight="1">
      <c r="A77" s="103"/>
      <c r="C77" s="399"/>
      <c r="D77" s="388"/>
      <c r="E77" s="399"/>
      <c r="F77" s="388"/>
      <c r="G77" s="399"/>
      <c r="H77" s="391"/>
      <c r="I77" s="391"/>
    </row>
    <row r="78" spans="1:9" ht="19.5" customHeight="1">
      <c r="A78" s="103"/>
      <c r="C78" s="399"/>
      <c r="D78" s="388"/>
      <c r="E78" s="399"/>
      <c r="F78" s="388"/>
      <c r="G78" s="399"/>
      <c r="H78" s="391"/>
      <c r="I78" s="391"/>
    </row>
    <row r="79" spans="1:9" ht="19.5" customHeight="1">
      <c r="A79" s="103"/>
      <c r="C79" s="399"/>
      <c r="D79" s="388"/>
      <c r="E79" s="399"/>
      <c r="F79" s="388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9.140625" style="744" customWidth="1"/>
  </cols>
  <sheetData>
    <row r="1" spans="1:9" ht="16.5" customHeight="1">
      <c r="A1" s="105" t="s">
        <v>1679</v>
      </c>
      <c r="B1" s="368"/>
      <c r="C1" s="395"/>
      <c r="D1" s="368"/>
      <c r="E1" s="395"/>
      <c r="F1" s="368"/>
      <c r="G1" s="402"/>
      <c r="H1" s="369"/>
      <c r="I1" s="392"/>
    </row>
    <row r="2" spans="1:9" ht="16.5" customHeight="1">
      <c r="A2" s="111" t="s">
        <v>1680</v>
      </c>
      <c r="B2" s="368"/>
      <c r="C2" s="395"/>
      <c r="D2" s="368"/>
      <c r="E2" s="395"/>
      <c r="F2" s="368"/>
      <c r="G2" s="402"/>
      <c r="H2" s="369"/>
      <c r="I2" s="392"/>
    </row>
    <row r="3" spans="1:9" ht="16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6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6.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6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6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6.5" customHeight="1">
      <c r="A8" s="114" t="s">
        <v>1681</v>
      </c>
      <c r="B8" s="370"/>
      <c r="C8" s="397"/>
      <c r="D8" s="370"/>
      <c r="E8" s="397"/>
      <c r="F8" s="370"/>
      <c r="G8" s="403"/>
      <c r="H8" s="371"/>
      <c r="I8" s="393"/>
    </row>
    <row r="9" spans="1:9" ht="16.5" customHeight="1">
      <c r="A9" s="114"/>
      <c r="B9" s="370"/>
      <c r="C9" s="397" t="s">
        <v>1682</v>
      </c>
      <c r="D9" s="370"/>
      <c r="E9" s="397"/>
      <c r="F9" s="370"/>
      <c r="G9" s="403"/>
      <c r="H9" s="371"/>
      <c r="I9" s="393"/>
    </row>
    <row r="10" spans="1:9" ht="16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6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6.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6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6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6.5" customHeight="1">
      <c r="A15" s="131" t="s">
        <v>347</v>
      </c>
      <c r="B15" s="382">
        <v>30</v>
      </c>
      <c r="C15" s="133">
        <v>1494</v>
      </c>
      <c r="D15" s="382">
        <v>0</v>
      </c>
      <c r="E15" s="133">
        <v>0</v>
      </c>
      <c r="F15" s="132">
        <v>30</v>
      </c>
      <c r="G15" s="133">
        <v>1494</v>
      </c>
      <c r="H15" s="134" t="s">
        <v>1753</v>
      </c>
      <c r="I15" s="134">
        <v>140.34</v>
      </c>
    </row>
    <row r="16" spans="1:9" ht="16.5" customHeight="1">
      <c r="A16" s="131" t="s">
        <v>36</v>
      </c>
      <c r="B16" s="382">
        <v>200</v>
      </c>
      <c r="C16" s="133">
        <v>9965.5</v>
      </c>
      <c r="D16" s="382">
        <v>25</v>
      </c>
      <c r="E16" s="133">
        <v>1246.7</v>
      </c>
      <c r="F16" s="132">
        <v>225</v>
      </c>
      <c r="G16" s="133">
        <v>11212.2</v>
      </c>
      <c r="H16" s="134" t="s">
        <v>1754</v>
      </c>
      <c r="I16" s="134">
        <v>201.83</v>
      </c>
    </row>
    <row r="17" spans="1:9" ht="16.5" customHeight="1">
      <c r="A17" s="131" t="s">
        <v>213</v>
      </c>
      <c r="B17" s="382">
        <v>40</v>
      </c>
      <c r="C17" s="133">
        <v>1994</v>
      </c>
      <c r="D17" s="382">
        <v>0</v>
      </c>
      <c r="E17" s="133">
        <v>0</v>
      </c>
      <c r="F17" s="132">
        <v>40</v>
      </c>
      <c r="G17" s="133">
        <v>1994</v>
      </c>
      <c r="H17" s="134" t="s">
        <v>1381</v>
      </c>
      <c r="I17" s="134">
        <v>131</v>
      </c>
    </row>
    <row r="18" spans="1:9" ht="16.5" customHeight="1">
      <c r="A18" s="131" t="s">
        <v>586</v>
      </c>
      <c r="B18" s="383"/>
      <c r="C18" s="133">
        <v>0</v>
      </c>
      <c r="D18" s="382">
        <v>51</v>
      </c>
      <c r="E18" s="133">
        <v>2545.8</v>
      </c>
      <c r="F18" s="132">
        <v>51</v>
      </c>
      <c r="G18" s="133">
        <v>2545.8</v>
      </c>
      <c r="H18" s="134" t="s">
        <v>1755</v>
      </c>
      <c r="I18" s="134">
        <v>150.39</v>
      </c>
    </row>
    <row r="19" spans="1:9" ht="16.5" customHeight="1">
      <c r="A19" s="131" t="s">
        <v>219</v>
      </c>
      <c r="B19" s="382">
        <v>70</v>
      </c>
      <c r="C19" s="133">
        <v>3488</v>
      </c>
      <c r="D19" s="382">
        <v>0</v>
      </c>
      <c r="E19" s="133">
        <v>0</v>
      </c>
      <c r="F19" s="132">
        <v>70</v>
      </c>
      <c r="G19" s="133">
        <v>3488</v>
      </c>
      <c r="H19" s="134" t="s">
        <v>1756</v>
      </c>
      <c r="I19" s="134">
        <v>174.72</v>
      </c>
    </row>
    <row r="20" spans="1:9" ht="16.5" customHeight="1">
      <c r="A20" s="131" t="s">
        <v>41</v>
      </c>
      <c r="B20" s="382">
        <v>31</v>
      </c>
      <c r="C20" s="133">
        <v>1545.5</v>
      </c>
      <c r="D20" s="382">
        <v>0</v>
      </c>
      <c r="E20" s="133">
        <v>0</v>
      </c>
      <c r="F20" s="132">
        <v>31</v>
      </c>
      <c r="G20" s="133">
        <v>1545.5</v>
      </c>
      <c r="H20" s="134" t="s">
        <v>1757</v>
      </c>
      <c r="I20" s="134">
        <v>257.03</v>
      </c>
    </row>
    <row r="21" spans="1:9" ht="16.5" customHeight="1">
      <c r="A21" s="131" t="s">
        <v>42</v>
      </c>
      <c r="B21" s="382">
        <v>30</v>
      </c>
      <c r="C21" s="133">
        <v>1495.5</v>
      </c>
      <c r="D21" s="382">
        <v>30</v>
      </c>
      <c r="E21" s="133">
        <v>1497.6</v>
      </c>
      <c r="F21" s="132">
        <v>60</v>
      </c>
      <c r="G21" s="133">
        <v>2993.1</v>
      </c>
      <c r="H21" s="134" t="s">
        <v>1758</v>
      </c>
      <c r="I21" s="134">
        <v>184.83</v>
      </c>
    </row>
    <row r="22" spans="1:9" ht="16.5" customHeight="1">
      <c r="A22" s="131" t="s">
        <v>43</v>
      </c>
      <c r="B22" s="382">
        <v>163</v>
      </c>
      <c r="C22" s="133">
        <v>8121.5</v>
      </c>
      <c r="D22" s="382">
        <v>10</v>
      </c>
      <c r="E22" s="133">
        <v>498.4</v>
      </c>
      <c r="F22" s="132">
        <v>173</v>
      </c>
      <c r="G22" s="133">
        <v>8619.9</v>
      </c>
      <c r="H22" s="134" t="s">
        <v>1759</v>
      </c>
      <c r="I22" s="134">
        <v>186.54</v>
      </c>
    </row>
    <row r="23" spans="1:9" ht="16.5" customHeight="1">
      <c r="A23" s="131" t="s">
        <v>45</v>
      </c>
      <c r="B23" s="382">
        <v>40</v>
      </c>
      <c r="C23" s="133">
        <v>1994</v>
      </c>
      <c r="D23" s="382">
        <v>30</v>
      </c>
      <c r="E23" s="133">
        <v>1496.8</v>
      </c>
      <c r="F23" s="132">
        <v>70</v>
      </c>
      <c r="G23" s="133">
        <v>3490.8</v>
      </c>
      <c r="H23" s="134" t="s">
        <v>1760</v>
      </c>
      <c r="I23" s="134">
        <v>167.92</v>
      </c>
    </row>
    <row r="24" spans="1:9" ht="16.5" customHeight="1">
      <c r="A24" s="131" t="s">
        <v>67</v>
      </c>
      <c r="B24" s="382">
        <v>11</v>
      </c>
      <c r="C24" s="133">
        <v>548.5</v>
      </c>
      <c r="D24" s="382">
        <v>0</v>
      </c>
      <c r="E24" s="133">
        <v>0</v>
      </c>
      <c r="F24" s="132">
        <v>11</v>
      </c>
      <c r="G24" s="133">
        <v>548.5</v>
      </c>
      <c r="H24" s="134" t="s">
        <v>1761</v>
      </c>
      <c r="I24" s="134">
        <v>260</v>
      </c>
    </row>
    <row r="25" spans="1:9" ht="16.5" customHeight="1">
      <c r="A25" s="131" t="s">
        <v>687</v>
      </c>
      <c r="B25" s="383"/>
      <c r="C25" s="133">
        <v>0</v>
      </c>
      <c r="D25" s="382">
        <v>2</v>
      </c>
      <c r="E25" s="133">
        <v>99.5</v>
      </c>
      <c r="F25" s="132">
        <v>2</v>
      </c>
      <c r="G25" s="133">
        <v>99.5</v>
      </c>
      <c r="H25" s="134">
        <v>24875</v>
      </c>
      <c r="I25" s="134">
        <v>250</v>
      </c>
    </row>
    <row r="26" spans="1:9" ht="16.5" customHeight="1">
      <c r="A26" s="131" t="s">
        <v>55</v>
      </c>
      <c r="B26" s="382">
        <v>2</v>
      </c>
      <c r="C26" s="133">
        <v>20</v>
      </c>
      <c r="D26" s="382">
        <v>22</v>
      </c>
      <c r="E26" s="133">
        <v>1097.4</v>
      </c>
      <c r="F26" s="132">
        <v>24</v>
      </c>
      <c r="G26" s="133">
        <v>1117.4</v>
      </c>
      <c r="H26" s="134" t="s">
        <v>1762</v>
      </c>
      <c r="I26" s="134">
        <v>223.25</v>
      </c>
    </row>
    <row r="27" spans="1:9" ht="16.5" customHeight="1">
      <c r="A27" s="131" t="s">
        <v>400</v>
      </c>
      <c r="B27" s="383"/>
      <c r="C27" s="133">
        <v>0</v>
      </c>
      <c r="D27" s="382">
        <v>112</v>
      </c>
      <c r="E27" s="133">
        <v>5589.3</v>
      </c>
      <c r="F27" s="132">
        <v>112</v>
      </c>
      <c r="G27" s="133">
        <v>5589.3</v>
      </c>
      <c r="H27" s="134">
        <v>929686.3</v>
      </c>
      <c r="I27" s="134">
        <v>166.3332259853649</v>
      </c>
    </row>
    <row r="28" spans="1:9" ht="16.5" customHeight="1">
      <c r="A28" s="131" t="s">
        <v>230</v>
      </c>
      <c r="B28" s="382">
        <v>10</v>
      </c>
      <c r="C28" s="133">
        <v>498.5</v>
      </c>
      <c r="D28" s="382">
        <v>0</v>
      </c>
      <c r="E28" s="133">
        <v>0</v>
      </c>
      <c r="F28" s="132">
        <v>10</v>
      </c>
      <c r="G28" s="133">
        <v>498.5</v>
      </c>
      <c r="H28" s="134">
        <v>66300.5</v>
      </c>
      <c r="I28" s="134">
        <v>133</v>
      </c>
    </row>
    <row r="29" spans="1:9" ht="16.5" customHeight="1">
      <c r="A29" s="131" t="s">
        <v>46</v>
      </c>
      <c r="B29" s="382">
        <v>240</v>
      </c>
      <c r="C29" s="133">
        <v>11961</v>
      </c>
      <c r="D29" s="382">
        <v>10</v>
      </c>
      <c r="E29" s="133">
        <v>499.2</v>
      </c>
      <c r="F29" s="132">
        <v>250</v>
      </c>
      <c r="G29" s="133">
        <v>12460.2</v>
      </c>
      <c r="H29" s="134" t="s">
        <v>1763</v>
      </c>
      <c r="I29" s="134">
        <v>153.72</v>
      </c>
    </row>
    <row r="30" spans="1:9" ht="16.5" customHeight="1">
      <c r="A30" s="131" t="s">
        <v>68</v>
      </c>
      <c r="B30" s="382">
        <v>2</v>
      </c>
      <c r="C30" s="133">
        <v>20</v>
      </c>
      <c r="D30" s="382">
        <v>0</v>
      </c>
      <c r="E30" s="133">
        <v>0</v>
      </c>
      <c r="F30" s="132">
        <v>2</v>
      </c>
      <c r="G30" s="133">
        <v>20</v>
      </c>
      <c r="H30" s="134">
        <v>8000</v>
      </c>
      <c r="I30" s="134">
        <v>400</v>
      </c>
    </row>
    <row r="31" spans="1:9" ht="16.5" customHeight="1">
      <c r="A31" s="131" t="s">
        <v>604</v>
      </c>
      <c r="B31" s="382">
        <v>10</v>
      </c>
      <c r="C31" s="133">
        <v>498.5</v>
      </c>
      <c r="D31" s="382">
        <v>0</v>
      </c>
      <c r="E31" s="133">
        <v>0</v>
      </c>
      <c r="F31" s="132">
        <v>10</v>
      </c>
      <c r="G31" s="133">
        <v>498.5</v>
      </c>
      <c r="H31" s="134" t="s">
        <v>1764</v>
      </c>
      <c r="I31" s="134">
        <v>258</v>
      </c>
    </row>
    <row r="32" spans="1:9" ht="16.5" customHeight="1">
      <c r="A32" s="131" t="s">
        <v>194</v>
      </c>
      <c r="B32" s="383"/>
      <c r="C32" s="133">
        <v>0</v>
      </c>
      <c r="D32" s="382">
        <v>15</v>
      </c>
      <c r="E32" s="133">
        <v>748.4</v>
      </c>
      <c r="F32" s="132">
        <v>15</v>
      </c>
      <c r="G32" s="133">
        <v>748.4</v>
      </c>
      <c r="H32" s="134" t="s">
        <v>1765</v>
      </c>
      <c r="I32" s="134">
        <v>187</v>
      </c>
    </row>
    <row r="33" spans="1:9" ht="16.5" customHeight="1">
      <c r="A33" s="131" t="s">
        <v>51</v>
      </c>
      <c r="B33" s="383">
        <v>30</v>
      </c>
      <c r="C33" s="133">
        <v>1495.5</v>
      </c>
      <c r="D33" s="382">
        <v>10</v>
      </c>
      <c r="E33" s="133">
        <v>499.2</v>
      </c>
      <c r="F33" s="132">
        <v>40</v>
      </c>
      <c r="G33" s="133">
        <v>1994.7</v>
      </c>
      <c r="H33" s="134">
        <v>404903.8</v>
      </c>
      <c r="I33" s="134">
        <v>202.98982303103222</v>
      </c>
    </row>
    <row r="34" spans="1:9" ht="16.5" customHeight="1">
      <c r="A34" s="131" t="s">
        <v>198</v>
      </c>
      <c r="B34" s="383"/>
      <c r="C34" s="133">
        <v>0</v>
      </c>
      <c r="D34" s="382">
        <v>50</v>
      </c>
      <c r="E34" s="133">
        <v>2496</v>
      </c>
      <c r="F34" s="132">
        <v>50</v>
      </c>
      <c r="G34" s="133">
        <v>2496</v>
      </c>
      <c r="H34" s="134" t="s">
        <v>1766</v>
      </c>
      <c r="I34" s="134">
        <v>171.2</v>
      </c>
    </row>
    <row r="35" spans="1:9" ht="16.5" customHeight="1">
      <c r="A35" s="131" t="s">
        <v>374</v>
      </c>
      <c r="B35" s="382">
        <v>70</v>
      </c>
      <c r="C35" s="133">
        <v>3489.5</v>
      </c>
      <c r="D35" s="382">
        <v>0</v>
      </c>
      <c r="E35" s="133">
        <v>0</v>
      </c>
      <c r="F35" s="132">
        <v>70</v>
      </c>
      <c r="G35" s="133">
        <v>3489.5</v>
      </c>
      <c r="H35" s="134" t="s">
        <v>1767</v>
      </c>
      <c r="I35" s="134">
        <v>137.86</v>
      </c>
    </row>
    <row r="36" spans="1:9" ht="16.5" customHeight="1">
      <c r="A36" s="131" t="s">
        <v>53</v>
      </c>
      <c r="B36" s="382">
        <v>226</v>
      </c>
      <c r="C36" s="133">
        <v>11264.5</v>
      </c>
      <c r="D36" s="382">
        <v>0</v>
      </c>
      <c r="E36" s="133">
        <v>0</v>
      </c>
      <c r="F36" s="132">
        <v>226</v>
      </c>
      <c r="G36" s="133">
        <v>11264.5</v>
      </c>
      <c r="H36" s="134">
        <v>2407937</v>
      </c>
      <c r="I36" s="134">
        <v>213.76332726707798</v>
      </c>
    </row>
    <row r="37" spans="1:9" ht="16.5" customHeight="1">
      <c r="A37" s="131" t="s">
        <v>201</v>
      </c>
      <c r="B37" s="383"/>
      <c r="C37" s="133">
        <v>0</v>
      </c>
      <c r="D37" s="382">
        <v>10</v>
      </c>
      <c r="E37" s="133">
        <v>499.2</v>
      </c>
      <c r="F37" s="132">
        <v>10</v>
      </c>
      <c r="G37" s="133">
        <v>499.2</v>
      </c>
      <c r="H37" s="134">
        <v>88358.4</v>
      </c>
      <c r="I37" s="134">
        <v>177</v>
      </c>
    </row>
    <row r="38" spans="1:9" ht="16.5" customHeight="1">
      <c r="A38" s="131" t="s">
        <v>54</v>
      </c>
      <c r="B38" s="382">
        <v>10</v>
      </c>
      <c r="C38" s="133">
        <v>498.5</v>
      </c>
      <c r="D38" s="382">
        <v>55</v>
      </c>
      <c r="E38" s="133">
        <v>2745.5</v>
      </c>
      <c r="F38" s="132">
        <v>65</v>
      </c>
      <c r="G38" s="133">
        <v>3244</v>
      </c>
      <c r="H38" s="134" t="s">
        <v>1768</v>
      </c>
      <c r="I38" s="134">
        <v>189.75</v>
      </c>
    </row>
    <row r="39" spans="1:9" ht="16.5" customHeight="1">
      <c r="A39" s="131" t="s">
        <v>71</v>
      </c>
      <c r="B39" s="382">
        <v>20</v>
      </c>
      <c r="C39" s="133">
        <v>997</v>
      </c>
      <c r="D39" s="382">
        <v>20</v>
      </c>
      <c r="E39" s="133">
        <v>997.6</v>
      </c>
      <c r="F39" s="132">
        <v>40</v>
      </c>
      <c r="G39" s="133">
        <v>1994.6</v>
      </c>
      <c r="H39" s="134" t="s">
        <v>1769</v>
      </c>
      <c r="I39" s="134">
        <v>154.38</v>
      </c>
    </row>
    <row r="40" spans="1:9" ht="16.5" customHeight="1">
      <c r="A40" s="131" t="s">
        <v>874</v>
      </c>
      <c r="B40" s="383"/>
      <c r="C40" s="133">
        <v>0</v>
      </c>
      <c r="D40" s="382">
        <v>20</v>
      </c>
      <c r="E40" s="133">
        <v>998.4</v>
      </c>
      <c r="F40" s="132">
        <v>20</v>
      </c>
      <c r="G40" s="133">
        <v>998.4</v>
      </c>
      <c r="H40" s="134" t="s">
        <v>1770</v>
      </c>
      <c r="I40" s="134">
        <v>155</v>
      </c>
    </row>
    <row r="41" spans="1:9" ht="16.5" customHeight="1">
      <c r="A41" s="131" t="s">
        <v>379</v>
      </c>
      <c r="B41" s="382">
        <v>91</v>
      </c>
      <c r="C41" s="133">
        <v>4541</v>
      </c>
      <c r="D41" s="382">
        <v>0</v>
      </c>
      <c r="E41" s="133">
        <v>0</v>
      </c>
      <c r="F41" s="132">
        <v>91</v>
      </c>
      <c r="G41" s="133">
        <v>4541</v>
      </c>
      <c r="H41" s="134" t="s">
        <v>1771</v>
      </c>
      <c r="I41" s="134">
        <v>191.19</v>
      </c>
    </row>
    <row r="42" spans="1:9" ht="16.5" customHeight="1">
      <c r="A42" s="131" t="s">
        <v>19</v>
      </c>
      <c r="B42" s="382">
        <v>1326</v>
      </c>
      <c r="C42" s="133">
        <v>65930.5</v>
      </c>
      <c r="D42" s="382">
        <v>472</v>
      </c>
      <c r="E42" s="133">
        <v>23555</v>
      </c>
      <c r="F42" s="226">
        <v>1798</v>
      </c>
      <c r="G42" s="133">
        <v>89485.5</v>
      </c>
      <c r="H42" s="134" t="s">
        <v>1772</v>
      </c>
      <c r="I42" s="134">
        <v>181.39</v>
      </c>
    </row>
    <row r="43" spans="1:9" ht="16.5" customHeight="1">
      <c r="A43" s="755"/>
      <c r="B43" s="761"/>
      <c r="C43" s="765"/>
      <c r="D43" s="761"/>
      <c r="E43" s="757"/>
      <c r="F43" s="761"/>
      <c r="G43" s="765"/>
      <c r="H43" s="756"/>
      <c r="I43" s="747"/>
    </row>
    <row r="44" spans="1:9" ht="16.5" customHeight="1">
      <c r="A44" s="142" t="s">
        <v>62</v>
      </c>
      <c r="B44" s="388"/>
      <c r="C44" s="399"/>
      <c r="D44" s="388"/>
      <c r="E44" s="399"/>
      <c r="F44" s="388"/>
      <c r="G44" s="399"/>
      <c r="H44" s="391"/>
      <c r="I44" s="391"/>
    </row>
    <row r="45" spans="1:9" ht="16.5" customHeight="1">
      <c r="A45" s="142" t="s">
        <v>63</v>
      </c>
      <c r="B45" s="388"/>
      <c r="C45" s="399"/>
      <c r="D45" s="388"/>
      <c r="E45" s="399"/>
      <c r="F45" s="388"/>
      <c r="G45" s="406" t="s">
        <v>64</v>
      </c>
      <c r="H45" s="389"/>
      <c r="I45" s="409"/>
    </row>
    <row r="46" spans="1:9" ht="16.5" customHeight="1">
      <c r="A46" s="142" t="s">
        <v>157</v>
      </c>
      <c r="B46" s="388"/>
      <c r="C46" s="399"/>
      <c r="D46" s="388"/>
      <c r="E46" s="399"/>
      <c r="F46" s="388"/>
      <c r="G46" s="399"/>
      <c r="H46" s="389" t="s">
        <v>66</v>
      </c>
      <c r="I46" s="408"/>
    </row>
    <row r="47" spans="1:9" ht="16.5" customHeight="1">
      <c r="A47" s="142" t="s">
        <v>158</v>
      </c>
      <c r="B47" s="388"/>
      <c r="C47" s="399"/>
      <c r="D47" s="388"/>
      <c r="E47" s="399"/>
      <c r="F47" s="388"/>
      <c r="G47" s="405"/>
      <c r="H47" s="389"/>
      <c r="I47" s="408"/>
    </row>
    <row r="48" spans="1:9" ht="16.5" customHeight="1">
      <c r="A48" s="142" t="s">
        <v>159</v>
      </c>
      <c r="B48" s="388"/>
      <c r="C48" s="399"/>
      <c r="D48" s="388"/>
      <c r="E48" s="399"/>
      <c r="F48" s="388"/>
      <c r="G48" s="405"/>
      <c r="H48" s="389"/>
      <c r="I48" s="408"/>
    </row>
    <row r="49" spans="1:9" ht="16.5" customHeight="1">
      <c r="A49" s="103"/>
      <c r="C49" s="399"/>
      <c r="D49" s="388"/>
      <c r="E49" s="399"/>
      <c r="F49" s="388"/>
      <c r="G49" s="399"/>
      <c r="H49" s="391"/>
      <c r="I49" s="391"/>
    </row>
    <row r="50" spans="1:9" ht="16.5" customHeight="1">
      <c r="A50" s="103"/>
      <c r="C50" s="399"/>
      <c r="D50" s="388"/>
      <c r="E50" s="399"/>
      <c r="F50" s="388"/>
      <c r="G50" s="399"/>
      <c r="H50" s="391"/>
      <c r="I50" s="391"/>
    </row>
    <row r="51" spans="1:9" ht="16.5" customHeight="1">
      <c r="A51" s="103"/>
      <c r="C51" s="399"/>
      <c r="D51" s="388"/>
      <c r="E51" s="399"/>
      <c r="F51" s="388"/>
      <c r="G51" s="399"/>
      <c r="H51" s="391"/>
      <c r="I51" s="391"/>
    </row>
    <row r="52" spans="1:9" ht="16.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6.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6.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6.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6.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6.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6.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6.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6.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6.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6.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6.5" customHeight="1">
      <c r="A63" s="103"/>
      <c r="C63" s="399"/>
      <c r="D63" s="388"/>
      <c r="E63" s="399"/>
      <c r="F63" s="388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744" customWidth="1"/>
    <col min="2" max="2" width="8.421875" style="766" customWidth="1"/>
    <col min="3" max="3" width="13.00390625" style="401" customWidth="1"/>
    <col min="4" max="4" width="8.421875" style="744" customWidth="1"/>
    <col min="5" max="5" width="11.57421875" style="401" customWidth="1"/>
    <col min="6" max="6" width="9.28125" style="744" customWidth="1"/>
    <col min="7" max="7" width="12.8515625" style="401" customWidth="1"/>
    <col min="8" max="8" width="16.28125" style="819" customWidth="1"/>
    <col min="9" max="9" width="10.7109375" style="819" customWidth="1"/>
    <col min="10" max="11" width="8.8515625" style="744" customWidth="1"/>
    <col min="12" max="12" width="14.28125" style="744" customWidth="1"/>
    <col min="13" max="16384" width="8.8515625" style="744" customWidth="1"/>
  </cols>
  <sheetData>
    <row r="1" spans="1:10" ht="13.5" customHeight="1">
      <c r="A1" s="105" t="s">
        <v>1683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1680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1684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/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1379</v>
      </c>
      <c r="B12" s="440">
        <v>30</v>
      </c>
      <c r="C12" s="407">
        <v>1496.5</v>
      </c>
      <c r="D12" s="441">
        <v>0</v>
      </c>
      <c r="E12" s="442">
        <v>0</v>
      </c>
      <c r="F12" s="441">
        <v>30</v>
      </c>
      <c r="G12" s="407">
        <v>1496.5</v>
      </c>
      <c r="H12" s="369" t="s">
        <v>1685</v>
      </c>
      <c r="I12" s="392">
        <v>218.67</v>
      </c>
      <c r="J12" s="210"/>
    </row>
    <row r="13" spans="1:10" ht="13.5" customHeight="1">
      <c r="A13" s="135" t="s">
        <v>347</v>
      </c>
      <c r="B13" s="440">
        <v>150</v>
      </c>
      <c r="C13" s="407">
        <v>7478</v>
      </c>
      <c r="D13" s="441">
        <v>0</v>
      </c>
      <c r="E13" s="442">
        <v>0</v>
      </c>
      <c r="F13" s="441">
        <v>150</v>
      </c>
      <c r="G13" s="407">
        <v>7478</v>
      </c>
      <c r="H13" s="369" t="s">
        <v>1686</v>
      </c>
      <c r="I13" s="392">
        <v>229.24</v>
      </c>
      <c r="J13" s="210"/>
    </row>
    <row r="14" spans="1:10" ht="13.5" customHeight="1">
      <c r="A14" s="135" t="s">
        <v>36</v>
      </c>
      <c r="B14" s="440">
        <v>6990</v>
      </c>
      <c r="C14" s="407" t="s">
        <v>1687</v>
      </c>
      <c r="D14" s="441">
        <v>399</v>
      </c>
      <c r="E14" s="442">
        <v>19913</v>
      </c>
      <c r="F14" s="441">
        <v>7389</v>
      </c>
      <c r="G14" s="407" t="s">
        <v>1688</v>
      </c>
      <c r="H14" s="369" t="s">
        <v>1689</v>
      </c>
      <c r="I14" s="392">
        <v>205.7</v>
      </c>
      <c r="J14" s="210"/>
    </row>
    <row r="15" spans="1:10" ht="13.5" customHeight="1">
      <c r="A15" s="135" t="s">
        <v>490</v>
      </c>
      <c r="B15" s="440">
        <v>163</v>
      </c>
      <c r="C15" s="407">
        <v>8130.5</v>
      </c>
      <c r="D15" s="441">
        <v>10</v>
      </c>
      <c r="E15" s="442">
        <v>499.2</v>
      </c>
      <c r="F15" s="441">
        <v>173</v>
      </c>
      <c r="G15" s="407">
        <v>8629.7</v>
      </c>
      <c r="H15" s="369" t="s">
        <v>1690</v>
      </c>
      <c r="I15" s="392">
        <v>198.63</v>
      </c>
      <c r="J15" s="210"/>
    </row>
    <row r="16" spans="1:10" ht="13.5" customHeight="1">
      <c r="A16" s="135" t="s">
        <v>768</v>
      </c>
      <c r="B16" s="440">
        <v>100</v>
      </c>
      <c r="C16" s="407">
        <v>4985</v>
      </c>
      <c r="D16" s="441">
        <v>0</v>
      </c>
      <c r="E16" s="442">
        <v>0</v>
      </c>
      <c r="F16" s="441">
        <v>100</v>
      </c>
      <c r="G16" s="407">
        <v>4985</v>
      </c>
      <c r="H16" s="369" t="s">
        <v>1691</v>
      </c>
      <c r="I16" s="392">
        <v>128.7</v>
      </c>
      <c r="J16" s="210"/>
    </row>
    <row r="17" spans="1:10" ht="13.5" customHeight="1">
      <c r="A17" s="135" t="s">
        <v>132</v>
      </c>
      <c r="B17" s="440">
        <v>145</v>
      </c>
      <c r="C17" s="407">
        <v>7236</v>
      </c>
      <c r="D17" s="441">
        <v>10</v>
      </c>
      <c r="E17" s="442">
        <v>499.2</v>
      </c>
      <c r="F17" s="441">
        <v>155</v>
      </c>
      <c r="G17" s="407">
        <v>7735.2</v>
      </c>
      <c r="H17" s="369" t="s">
        <v>1692</v>
      </c>
      <c r="I17" s="392">
        <v>182.02</v>
      </c>
      <c r="J17" s="210"/>
    </row>
    <row r="18" spans="1:10" ht="13.5" customHeight="1">
      <c r="A18" s="135" t="s">
        <v>350</v>
      </c>
      <c r="B18" s="440">
        <v>11</v>
      </c>
      <c r="C18" s="407">
        <v>548.5</v>
      </c>
      <c r="D18" s="441">
        <v>0</v>
      </c>
      <c r="E18" s="442">
        <v>0</v>
      </c>
      <c r="F18" s="441">
        <v>11</v>
      </c>
      <c r="G18" s="407">
        <v>548.5</v>
      </c>
      <c r="H18" s="369" t="s">
        <v>676</v>
      </c>
      <c r="I18" s="392">
        <v>300</v>
      </c>
      <c r="J18" s="210"/>
    </row>
    <row r="19" spans="1:10" ht="13.5" customHeight="1">
      <c r="A19" s="135" t="s">
        <v>1284</v>
      </c>
      <c r="B19" s="440">
        <v>72</v>
      </c>
      <c r="C19" s="407">
        <v>3549.5</v>
      </c>
      <c r="D19" s="441">
        <v>0</v>
      </c>
      <c r="E19" s="442">
        <v>0</v>
      </c>
      <c r="F19" s="441">
        <v>72</v>
      </c>
      <c r="G19" s="407">
        <v>3549.5</v>
      </c>
      <c r="H19" s="369" t="s">
        <v>1693</v>
      </c>
      <c r="I19" s="392">
        <v>304.31</v>
      </c>
      <c r="J19" s="210"/>
    </row>
    <row r="20" spans="1:10" ht="13.5" customHeight="1">
      <c r="A20" s="135" t="s">
        <v>134</v>
      </c>
      <c r="B20" s="440">
        <v>10</v>
      </c>
      <c r="C20" s="407">
        <v>500</v>
      </c>
      <c r="D20" s="441">
        <v>0</v>
      </c>
      <c r="E20" s="442">
        <v>0</v>
      </c>
      <c r="F20" s="441">
        <v>10</v>
      </c>
      <c r="G20" s="407">
        <v>500</v>
      </c>
      <c r="H20" s="369" t="s">
        <v>1546</v>
      </c>
      <c r="I20" s="392">
        <v>238</v>
      </c>
      <c r="J20" s="210"/>
    </row>
    <row r="21" spans="1:10" ht="13.5" customHeight="1">
      <c r="A21" s="135" t="s">
        <v>213</v>
      </c>
      <c r="B21" s="440">
        <v>1336</v>
      </c>
      <c r="C21" s="407">
        <v>66629.5</v>
      </c>
      <c r="D21" s="441">
        <v>181</v>
      </c>
      <c r="E21" s="442">
        <v>9036.8</v>
      </c>
      <c r="F21" s="441">
        <v>1517</v>
      </c>
      <c r="G21" s="407">
        <v>75666.3</v>
      </c>
      <c r="H21" s="369" t="s">
        <v>1694</v>
      </c>
      <c r="I21" s="392">
        <v>156.19</v>
      </c>
      <c r="J21" s="210"/>
    </row>
    <row r="22" spans="1:10" ht="13.5" customHeight="1">
      <c r="A22" s="135" t="s">
        <v>37</v>
      </c>
      <c r="B22" s="440">
        <v>230</v>
      </c>
      <c r="C22" s="407">
        <v>11483.5</v>
      </c>
      <c r="D22" s="441">
        <v>0</v>
      </c>
      <c r="E22" s="442">
        <v>0</v>
      </c>
      <c r="F22" s="441">
        <v>230</v>
      </c>
      <c r="G22" s="407">
        <v>11483.5</v>
      </c>
      <c r="H22" s="369">
        <v>2331941</v>
      </c>
      <c r="I22" s="392">
        <v>203.06883789785346</v>
      </c>
      <c r="J22" s="210"/>
    </row>
    <row r="23" spans="1:10" ht="13.5" customHeight="1">
      <c r="A23" s="135" t="s">
        <v>586</v>
      </c>
      <c r="B23" s="440">
        <v>10</v>
      </c>
      <c r="C23" s="407">
        <v>498.5</v>
      </c>
      <c r="D23" s="441">
        <v>124</v>
      </c>
      <c r="E23" s="442">
        <v>6188.099999999999</v>
      </c>
      <c r="F23" s="441">
        <v>134</v>
      </c>
      <c r="G23" s="407">
        <v>6686.599999999999</v>
      </c>
      <c r="H23" s="369">
        <v>1039697.7999999999</v>
      </c>
      <c r="I23" s="392">
        <v>155.48975563066432</v>
      </c>
      <c r="J23" s="210"/>
    </row>
    <row r="24" spans="1:10" ht="13.5" customHeight="1">
      <c r="A24" s="135" t="s">
        <v>73</v>
      </c>
      <c r="B24" s="440">
        <v>21</v>
      </c>
      <c r="C24" s="407">
        <v>1048.5</v>
      </c>
      <c r="D24" s="441">
        <v>0</v>
      </c>
      <c r="E24" s="442">
        <v>0</v>
      </c>
      <c r="F24" s="441">
        <v>21</v>
      </c>
      <c r="G24" s="407">
        <v>1048.5</v>
      </c>
      <c r="H24" s="369" t="s">
        <v>1420</v>
      </c>
      <c r="I24" s="392">
        <v>275</v>
      </c>
      <c r="J24" s="210"/>
    </row>
    <row r="25" spans="1:10" ht="13.5" customHeight="1">
      <c r="A25" s="135" t="s">
        <v>675</v>
      </c>
      <c r="B25" s="440">
        <v>11</v>
      </c>
      <c r="C25" s="407">
        <v>549.5</v>
      </c>
      <c r="D25" s="441">
        <v>3</v>
      </c>
      <c r="E25" s="442">
        <v>149.5</v>
      </c>
      <c r="F25" s="441">
        <v>14</v>
      </c>
      <c r="G25" s="407">
        <v>699</v>
      </c>
      <c r="H25" s="369" t="s">
        <v>1385</v>
      </c>
      <c r="I25" s="392">
        <v>323.95</v>
      </c>
      <c r="J25" s="210"/>
    </row>
    <row r="26" spans="1:10" ht="13.5" customHeight="1">
      <c r="A26" s="135" t="s">
        <v>38</v>
      </c>
      <c r="B26" s="440">
        <v>152</v>
      </c>
      <c r="C26" s="407">
        <v>7577.5</v>
      </c>
      <c r="D26" s="441">
        <v>0</v>
      </c>
      <c r="E26" s="442">
        <v>0</v>
      </c>
      <c r="F26" s="441">
        <v>152</v>
      </c>
      <c r="G26" s="407">
        <v>7577.5</v>
      </c>
      <c r="H26" s="369" t="s">
        <v>1695</v>
      </c>
      <c r="I26" s="392">
        <v>145.38</v>
      </c>
      <c r="J26" s="210"/>
    </row>
    <row r="27" spans="1:10" ht="13.5" customHeight="1">
      <c r="A27" s="135" t="s">
        <v>1247</v>
      </c>
      <c r="B27" s="440">
        <v>30</v>
      </c>
      <c r="C27" s="407">
        <v>1495.5</v>
      </c>
      <c r="D27" s="441">
        <v>0</v>
      </c>
      <c r="E27" s="442">
        <v>0</v>
      </c>
      <c r="F27" s="441">
        <v>30</v>
      </c>
      <c r="G27" s="407">
        <v>1495.5</v>
      </c>
      <c r="H27" s="369" t="s">
        <v>1696</v>
      </c>
      <c r="I27" s="392">
        <v>260.67</v>
      </c>
      <c r="J27" s="210"/>
    </row>
    <row r="28" spans="1:10" ht="13.5" customHeight="1">
      <c r="A28" s="135" t="s">
        <v>1186</v>
      </c>
      <c r="B28" s="440">
        <v>10</v>
      </c>
      <c r="C28" s="407">
        <v>498.5</v>
      </c>
      <c r="D28" s="441">
        <v>0</v>
      </c>
      <c r="E28" s="442">
        <v>0</v>
      </c>
      <c r="F28" s="441">
        <v>10</v>
      </c>
      <c r="G28" s="407">
        <v>498.5</v>
      </c>
      <c r="H28" s="369">
        <v>97207.5</v>
      </c>
      <c r="I28" s="392">
        <v>195</v>
      </c>
      <c r="J28" s="210"/>
    </row>
    <row r="29" spans="1:10" ht="13.5" customHeight="1">
      <c r="A29" s="135" t="s">
        <v>170</v>
      </c>
      <c r="B29" s="440">
        <v>100</v>
      </c>
      <c r="C29" s="407">
        <v>4986.5</v>
      </c>
      <c r="D29" s="441">
        <v>350</v>
      </c>
      <c r="E29" s="442">
        <v>17470.4</v>
      </c>
      <c r="F29" s="441">
        <v>450</v>
      </c>
      <c r="G29" s="407">
        <v>22456.9</v>
      </c>
      <c r="H29" s="369" t="s">
        <v>1697</v>
      </c>
      <c r="I29" s="392">
        <v>201.53</v>
      </c>
      <c r="J29" s="210"/>
    </row>
    <row r="30" spans="1:10" ht="13.5" customHeight="1">
      <c r="A30" s="135" t="s">
        <v>219</v>
      </c>
      <c r="B30" s="440">
        <v>122</v>
      </c>
      <c r="C30" s="407">
        <v>6079</v>
      </c>
      <c r="D30" s="441">
        <v>0</v>
      </c>
      <c r="E30" s="442">
        <v>0</v>
      </c>
      <c r="F30" s="441">
        <v>122</v>
      </c>
      <c r="G30" s="407">
        <v>6079</v>
      </c>
      <c r="H30" s="369" t="s">
        <v>1698</v>
      </c>
      <c r="I30" s="392">
        <v>205.81</v>
      </c>
      <c r="J30" s="210"/>
    </row>
    <row r="31" spans="1:10" ht="13.5" customHeight="1">
      <c r="A31" s="135" t="s">
        <v>358</v>
      </c>
      <c r="B31" s="440">
        <v>20</v>
      </c>
      <c r="C31" s="407">
        <v>997</v>
      </c>
      <c r="D31" s="441">
        <v>0</v>
      </c>
      <c r="E31" s="442">
        <v>0</v>
      </c>
      <c r="F31" s="441">
        <v>20</v>
      </c>
      <c r="G31" s="407">
        <v>997</v>
      </c>
      <c r="H31" s="369" t="s">
        <v>175</v>
      </c>
      <c r="I31" s="392">
        <v>137</v>
      </c>
      <c r="J31" s="210"/>
    </row>
    <row r="32" spans="1:10" ht="13.5" customHeight="1">
      <c r="A32" s="135" t="s">
        <v>39</v>
      </c>
      <c r="B32" s="440">
        <v>275</v>
      </c>
      <c r="C32" s="407">
        <v>13725.5</v>
      </c>
      <c r="D32" s="441">
        <v>0</v>
      </c>
      <c r="E32" s="442">
        <v>0</v>
      </c>
      <c r="F32" s="441">
        <v>275</v>
      </c>
      <c r="G32" s="407">
        <v>13725.5</v>
      </c>
      <c r="H32" s="369" t="s">
        <v>1699</v>
      </c>
      <c r="I32" s="392">
        <v>284.4</v>
      </c>
      <c r="J32" s="210"/>
    </row>
    <row r="33" spans="1:10" ht="13.5" customHeight="1">
      <c r="A33" s="135" t="s">
        <v>812</v>
      </c>
      <c r="B33" s="440">
        <v>20</v>
      </c>
      <c r="C33" s="407">
        <v>998.5</v>
      </c>
      <c r="D33" s="441">
        <v>0</v>
      </c>
      <c r="E33" s="442">
        <v>0</v>
      </c>
      <c r="F33" s="441">
        <v>20</v>
      </c>
      <c r="G33" s="407">
        <v>998.5</v>
      </c>
      <c r="H33" s="369" t="s">
        <v>1700</v>
      </c>
      <c r="I33" s="392">
        <v>288.52</v>
      </c>
      <c r="J33" s="210"/>
    </row>
    <row r="34" spans="1:10" ht="13.5" customHeight="1">
      <c r="A34" s="135" t="s">
        <v>40</v>
      </c>
      <c r="B34" s="440">
        <v>130</v>
      </c>
      <c r="C34" s="407">
        <v>6482</v>
      </c>
      <c r="D34" s="441">
        <v>0</v>
      </c>
      <c r="E34" s="442">
        <v>0</v>
      </c>
      <c r="F34" s="441">
        <v>130</v>
      </c>
      <c r="G34" s="407">
        <v>6482</v>
      </c>
      <c r="H34" s="369" t="s">
        <v>1701</v>
      </c>
      <c r="I34" s="392">
        <v>263.13</v>
      </c>
      <c r="J34" s="210"/>
    </row>
    <row r="35" spans="1:10" ht="13.5" customHeight="1">
      <c r="A35" s="135" t="s">
        <v>41</v>
      </c>
      <c r="B35" s="440">
        <v>705</v>
      </c>
      <c r="C35" s="407">
        <v>35078</v>
      </c>
      <c r="D35" s="441">
        <v>10</v>
      </c>
      <c r="E35" s="442">
        <v>499.2</v>
      </c>
      <c r="F35" s="441">
        <v>715</v>
      </c>
      <c r="G35" s="407">
        <v>35577.2</v>
      </c>
      <c r="H35" s="369" t="s">
        <v>1702</v>
      </c>
      <c r="I35" s="392">
        <v>223.44</v>
      </c>
      <c r="J35" s="210"/>
    </row>
    <row r="36" spans="1:10" ht="13.5" customHeight="1">
      <c r="A36" s="135" t="s">
        <v>174</v>
      </c>
      <c r="B36" s="440">
        <v>40</v>
      </c>
      <c r="C36" s="407">
        <v>1997</v>
      </c>
      <c r="D36" s="441">
        <v>0</v>
      </c>
      <c r="E36" s="442">
        <v>0</v>
      </c>
      <c r="F36" s="441">
        <v>40</v>
      </c>
      <c r="G36" s="407">
        <v>1997</v>
      </c>
      <c r="H36" s="369" t="s">
        <v>1703</v>
      </c>
      <c r="I36" s="392">
        <v>295</v>
      </c>
      <c r="J36" s="210"/>
    </row>
    <row r="37" spans="1:10" ht="13.5" customHeight="1">
      <c r="A37" s="135" t="s">
        <v>98</v>
      </c>
      <c r="B37" s="440">
        <v>75</v>
      </c>
      <c r="C37" s="407">
        <v>3741</v>
      </c>
      <c r="D37" s="441">
        <v>0</v>
      </c>
      <c r="E37" s="442">
        <v>0</v>
      </c>
      <c r="F37" s="441">
        <v>75</v>
      </c>
      <c r="G37" s="407">
        <v>3741</v>
      </c>
      <c r="H37" s="369" t="s">
        <v>1704</v>
      </c>
      <c r="I37" s="392">
        <v>233.87</v>
      </c>
      <c r="J37" s="210"/>
    </row>
    <row r="38" spans="1:10" ht="13.5" customHeight="1">
      <c r="A38" s="135" t="s">
        <v>176</v>
      </c>
      <c r="B38" s="440">
        <v>41</v>
      </c>
      <c r="C38" s="407">
        <v>2042.5</v>
      </c>
      <c r="D38" s="441">
        <v>0</v>
      </c>
      <c r="E38" s="442">
        <v>0</v>
      </c>
      <c r="F38" s="441">
        <v>41</v>
      </c>
      <c r="G38" s="407">
        <v>2042.5</v>
      </c>
      <c r="H38" s="369" t="s">
        <v>1705</v>
      </c>
      <c r="I38" s="392">
        <v>171.95</v>
      </c>
      <c r="J38" s="210"/>
    </row>
    <row r="39" spans="1:10" ht="13.5" customHeight="1">
      <c r="A39" s="135" t="s">
        <v>42</v>
      </c>
      <c r="B39" s="440">
        <v>1270</v>
      </c>
      <c r="C39" s="407">
        <v>63200</v>
      </c>
      <c r="D39" s="441">
        <v>655</v>
      </c>
      <c r="E39" s="442">
        <v>32696.7</v>
      </c>
      <c r="F39" s="441">
        <v>1925</v>
      </c>
      <c r="G39" s="407">
        <v>95896.7</v>
      </c>
      <c r="H39" s="369" t="s">
        <v>1706</v>
      </c>
      <c r="I39" s="392">
        <v>199.11</v>
      </c>
      <c r="J39" s="210"/>
    </row>
    <row r="40" spans="1:10" ht="13.5" customHeight="1">
      <c r="A40" s="135" t="s">
        <v>178</v>
      </c>
      <c r="B40" s="440">
        <v>467</v>
      </c>
      <c r="C40" s="407">
        <v>23285.5</v>
      </c>
      <c r="D40" s="441">
        <v>20</v>
      </c>
      <c r="E40" s="442">
        <v>996.8</v>
      </c>
      <c r="F40" s="441">
        <v>487</v>
      </c>
      <c r="G40" s="407">
        <v>24282.3</v>
      </c>
      <c r="H40" s="369" t="s">
        <v>1707</v>
      </c>
      <c r="I40" s="392">
        <v>149.46</v>
      </c>
      <c r="J40" s="210"/>
    </row>
    <row r="41" spans="1:10" ht="13.5" customHeight="1">
      <c r="A41" s="135" t="s">
        <v>43</v>
      </c>
      <c r="B41" s="440">
        <v>8609</v>
      </c>
      <c r="C41" s="407" t="s">
        <v>1708</v>
      </c>
      <c r="D41" s="441">
        <v>1908</v>
      </c>
      <c r="E41" s="442">
        <v>95242.1</v>
      </c>
      <c r="F41" s="441">
        <v>10517</v>
      </c>
      <c r="G41" s="407" t="s">
        <v>1709</v>
      </c>
      <c r="H41" s="369" t="s">
        <v>1710</v>
      </c>
      <c r="I41" s="392">
        <v>203.6</v>
      </c>
      <c r="J41" s="210"/>
    </row>
    <row r="42" spans="1:10" ht="13.5" customHeight="1">
      <c r="A42" s="135" t="s">
        <v>44</v>
      </c>
      <c r="B42" s="440">
        <v>21</v>
      </c>
      <c r="C42" s="407">
        <v>1050</v>
      </c>
      <c r="D42" s="441">
        <v>0</v>
      </c>
      <c r="E42" s="442">
        <v>0</v>
      </c>
      <c r="F42" s="441">
        <v>21</v>
      </c>
      <c r="G42" s="407">
        <v>1050</v>
      </c>
      <c r="H42" s="369" t="s">
        <v>1711</v>
      </c>
      <c r="I42" s="392">
        <v>227.9</v>
      </c>
      <c r="J42" s="210"/>
    </row>
    <row r="43" spans="1:10" ht="13.5" customHeight="1">
      <c r="A43" s="135" t="s">
        <v>45</v>
      </c>
      <c r="B43" s="440">
        <v>353</v>
      </c>
      <c r="C43" s="407">
        <v>17599</v>
      </c>
      <c r="D43" s="441">
        <v>190</v>
      </c>
      <c r="E43" s="442">
        <v>9481.9</v>
      </c>
      <c r="F43" s="441">
        <v>543</v>
      </c>
      <c r="G43" s="407">
        <v>27080.9</v>
      </c>
      <c r="H43" s="369" t="s">
        <v>1712</v>
      </c>
      <c r="I43" s="392">
        <v>173.73</v>
      </c>
      <c r="J43" s="210"/>
    </row>
    <row r="44" spans="1:10" ht="13.5" customHeight="1">
      <c r="A44" s="135" t="s">
        <v>67</v>
      </c>
      <c r="B44" s="440">
        <v>266</v>
      </c>
      <c r="C44" s="407">
        <v>13276</v>
      </c>
      <c r="D44" s="441">
        <v>0</v>
      </c>
      <c r="E44" s="442">
        <v>0</v>
      </c>
      <c r="F44" s="441">
        <v>266</v>
      </c>
      <c r="G44" s="407">
        <v>13276</v>
      </c>
      <c r="H44" s="369" t="s">
        <v>1713</v>
      </c>
      <c r="I44" s="392">
        <v>207.41</v>
      </c>
      <c r="J44" s="210"/>
    </row>
    <row r="45" spans="1:10" ht="13.5" customHeight="1">
      <c r="A45" s="135" t="s">
        <v>687</v>
      </c>
      <c r="B45" s="440">
        <v>115</v>
      </c>
      <c r="C45" s="407">
        <v>5736.5</v>
      </c>
      <c r="D45" s="441">
        <v>2</v>
      </c>
      <c r="E45" s="442">
        <v>99.5</v>
      </c>
      <c r="F45" s="441">
        <v>117</v>
      </c>
      <c r="G45" s="407">
        <v>5836</v>
      </c>
      <c r="H45" s="369">
        <v>1290495</v>
      </c>
      <c r="I45" s="392">
        <v>221.12662782727895</v>
      </c>
      <c r="J45" s="210"/>
    </row>
    <row r="46" spans="1:10" ht="13.5" customHeight="1">
      <c r="A46" s="135" t="s">
        <v>183</v>
      </c>
      <c r="B46" s="440">
        <v>452</v>
      </c>
      <c r="C46" s="407">
        <v>22535</v>
      </c>
      <c r="D46" s="441">
        <v>55</v>
      </c>
      <c r="E46" s="442">
        <v>2743.6</v>
      </c>
      <c r="F46" s="441">
        <v>507</v>
      </c>
      <c r="G46" s="407">
        <v>25278.6</v>
      </c>
      <c r="H46" s="369">
        <v>5094986.2</v>
      </c>
      <c r="I46" s="392">
        <v>201.55333760572185</v>
      </c>
      <c r="J46" s="210"/>
    </row>
    <row r="47" spans="1:10" ht="13.5" customHeight="1">
      <c r="A47" s="135" t="s">
        <v>55</v>
      </c>
      <c r="B47" s="440">
        <v>594</v>
      </c>
      <c r="C47" s="407">
        <v>29537.5</v>
      </c>
      <c r="D47" s="441">
        <v>370</v>
      </c>
      <c r="E47" s="442">
        <v>18465.9</v>
      </c>
      <c r="F47" s="441">
        <v>964</v>
      </c>
      <c r="G47" s="407">
        <v>48003.4</v>
      </c>
      <c r="H47" s="369">
        <v>8759425.9</v>
      </c>
      <c r="I47" s="392">
        <v>182.47511426273974</v>
      </c>
      <c r="J47" s="210"/>
    </row>
    <row r="48" spans="1:10" ht="13.5" customHeight="1">
      <c r="A48" s="135" t="s">
        <v>1213</v>
      </c>
      <c r="B48" s="440">
        <v>20</v>
      </c>
      <c r="C48" s="407">
        <v>997</v>
      </c>
      <c r="D48" s="441">
        <v>0</v>
      </c>
      <c r="E48" s="442">
        <v>0</v>
      </c>
      <c r="F48" s="441">
        <v>20</v>
      </c>
      <c r="G48" s="407">
        <v>997</v>
      </c>
      <c r="H48" s="369" t="s">
        <v>1714</v>
      </c>
      <c r="I48" s="392">
        <v>149</v>
      </c>
      <c r="J48" s="210"/>
    </row>
    <row r="49" spans="1:10" ht="13.5" customHeight="1">
      <c r="A49" s="135" t="s">
        <v>1525</v>
      </c>
      <c r="B49" s="440">
        <v>30</v>
      </c>
      <c r="C49" s="407">
        <v>1495.5</v>
      </c>
      <c r="D49" s="441">
        <v>0</v>
      </c>
      <c r="E49" s="442">
        <v>0</v>
      </c>
      <c r="F49" s="441">
        <v>30</v>
      </c>
      <c r="G49" s="407">
        <v>1495.5</v>
      </c>
      <c r="H49" s="369" t="s">
        <v>1526</v>
      </c>
      <c r="I49" s="392">
        <v>123.67</v>
      </c>
      <c r="J49" s="210"/>
    </row>
    <row r="50" spans="1:10" ht="13.5" customHeight="1">
      <c r="A50" s="135" t="s">
        <v>186</v>
      </c>
      <c r="B50" s="440">
        <v>70</v>
      </c>
      <c r="C50" s="407">
        <v>3490.5</v>
      </c>
      <c r="D50" s="441">
        <v>22</v>
      </c>
      <c r="E50" s="442">
        <v>1056.7</v>
      </c>
      <c r="F50" s="441">
        <v>92</v>
      </c>
      <c r="G50" s="407">
        <v>4547.2</v>
      </c>
      <c r="H50" s="369">
        <v>786039.5</v>
      </c>
      <c r="I50" s="392">
        <v>172.86231087262493</v>
      </c>
      <c r="J50" s="210"/>
    </row>
    <row r="51" spans="1:10" ht="13.5" customHeight="1">
      <c r="A51" s="135" t="s">
        <v>400</v>
      </c>
      <c r="B51" s="440"/>
      <c r="C51" s="407">
        <v>0</v>
      </c>
      <c r="D51" s="441">
        <v>861</v>
      </c>
      <c r="E51" s="442">
        <v>72962.3</v>
      </c>
      <c r="F51" s="441">
        <v>861</v>
      </c>
      <c r="G51" s="407">
        <v>42962.3</v>
      </c>
      <c r="H51" s="369">
        <v>7766245.699999999</v>
      </c>
      <c r="I51" s="392">
        <v>180.768853157303</v>
      </c>
      <c r="J51" s="210"/>
    </row>
    <row r="52" spans="1:10" ht="13.5" customHeight="1">
      <c r="A52" s="135" t="s">
        <v>272</v>
      </c>
      <c r="B52" s="440">
        <v>10</v>
      </c>
      <c r="C52" s="407">
        <v>498.5</v>
      </c>
      <c r="D52" s="441">
        <v>0</v>
      </c>
      <c r="E52" s="442">
        <v>0</v>
      </c>
      <c r="F52" s="441">
        <v>10</v>
      </c>
      <c r="G52" s="407">
        <v>498.5</v>
      </c>
      <c r="H52" s="369" t="s">
        <v>1393</v>
      </c>
      <c r="I52" s="392">
        <v>337</v>
      </c>
      <c r="J52" s="210"/>
    </row>
    <row r="53" spans="1:10" ht="13.5" customHeight="1">
      <c r="A53" s="135" t="s">
        <v>187</v>
      </c>
      <c r="B53" s="440"/>
      <c r="C53" s="407">
        <v>0</v>
      </c>
      <c r="D53" s="441">
        <v>185</v>
      </c>
      <c r="E53" s="442">
        <v>9235.1</v>
      </c>
      <c r="F53" s="441">
        <v>185</v>
      </c>
      <c r="G53" s="407">
        <v>9235.1</v>
      </c>
      <c r="H53" s="369" t="s">
        <v>1715</v>
      </c>
      <c r="I53" s="392">
        <v>193.65</v>
      </c>
      <c r="J53" s="210"/>
    </row>
    <row r="54" spans="1:10" ht="13.5" customHeight="1">
      <c r="A54" s="135" t="s">
        <v>1013</v>
      </c>
      <c r="B54" s="440">
        <v>75</v>
      </c>
      <c r="C54" s="407">
        <v>3742.5</v>
      </c>
      <c r="D54" s="441">
        <v>25</v>
      </c>
      <c r="E54" s="442">
        <v>1247.6</v>
      </c>
      <c r="F54" s="441">
        <v>100</v>
      </c>
      <c r="G54" s="407">
        <v>4990.1</v>
      </c>
      <c r="H54" s="369" t="s">
        <v>1716</v>
      </c>
      <c r="I54" s="392">
        <v>223.2</v>
      </c>
      <c r="J54" s="210"/>
    </row>
    <row r="55" spans="1:10" ht="13.5" customHeight="1">
      <c r="A55" s="135" t="s">
        <v>69</v>
      </c>
      <c r="B55" s="440">
        <v>55</v>
      </c>
      <c r="C55" s="407">
        <v>2747</v>
      </c>
      <c r="D55" s="441">
        <v>0</v>
      </c>
      <c r="E55" s="442">
        <v>0</v>
      </c>
      <c r="F55" s="441">
        <v>55</v>
      </c>
      <c r="G55" s="407">
        <v>2747</v>
      </c>
      <c r="H55" s="369" t="s">
        <v>1717</v>
      </c>
      <c r="I55" s="392">
        <v>160.51</v>
      </c>
      <c r="J55" s="210"/>
    </row>
    <row r="56" spans="1:10" ht="13.5" customHeight="1">
      <c r="A56" s="135" t="s">
        <v>403</v>
      </c>
      <c r="B56" s="440">
        <v>175</v>
      </c>
      <c r="C56" s="407">
        <v>8724.5</v>
      </c>
      <c r="D56" s="441">
        <v>0</v>
      </c>
      <c r="E56" s="442">
        <v>0</v>
      </c>
      <c r="F56" s="441">
        <v>175</v>
      </c>
      <c r="G56" s="407">
        <v>8724.5</v>
      </c>
      <c r="H56" s="369" t="s">
        <v>1718</v>
      </c>
      <c r="I56" s="392">
        <v>143</v>
      </c>
      <c r="J56" s="210"/>
    </row>
    <row r="57" spans="1:10" ht="13.5" customHeight="1">
      <c r="A57" s="135" t="s">
        <v>230</v>
      </c>
      <c r="B57" s="440">
        <v>295</v>
      </c>
      <c r="C57" s="407">
        <v>14676.5</v>
      </c>
      <c r="D57" s="441">
        <v>0</v>
      </c>
      <c r="E57" s="442">
        <v>0</v>
      </c>
      <c r="F57" s="441">
        <v>295</v>
      </c>
      <c r="G57" s="407">
        <v>14676.5</v>
      </c>
      <c r="H57" s="369" t="s">
        <v>1719</v>
      </c>
      <c r="I57" s="392">
        <v>207.5</v>
      </c>
      <c r="J57" s="210"/>
    </row>
    <row r="58" spans="1:10" ht="13.5" customHeight="1">
      <c r="A58" s="135" t="s">
        <v>46</v>
      </c>
      <c r="B58" s="440">
        <v>3802</v>
      </c>
      <c r="C58" s="407" t="s">
        <v>1720</v>
      </c>
      <c r="D58" s="441">
        <v>464</v>
      </c>
      <c r="E58" s="442">
        <v>23149</v>
      </c>
      <c r="F58" s="441">
        <v>4266</v>
      </c>
      <c r="G58" s="407" t="s">
        <v>1721</v>
      </c>
      <c r="H58" s="369" t="s">
        <v>1722</v>
      </c>
      <c r="I58" s="392">
        <v>187.14</v>
      </c>
      <c r="J58" s="210"/>
    </row>
    <row r="59" spans="1:10" ht="13.5" customHeight="1">
      <c r="A59" s="135" t="s">
        <v>47</v>
      </c>
      <c r="B59" s="440">
        <v>290</v>
      </c>
      <c r="C59" s="407">
        <v>14455</v>
      </c>
      <c r="D59" s="441">
        <v>0</v>
      </c>
      <c r="E59" s="442">
        <v>0</v>
      </c>
      <c r="F59" s="441">
        <v>290</v>
      </c>
      <c r="G59" s="407">
        <v>14455</v>
      </c>
      <c r="H59" s="369" t="s">
        <v>1723</v>
      </c>
      <c r="I59" s="392">
        <v>161.02</v>
      </c>
      <c r="J59" s="210"/>
    </row>
    <row r="60" spans="1:10" ht="13.5" customHeight="1">
      <c r="A60" s="135" t="s">
        <v>233</v>
      </c>
      <c r="B60" s="440"/>
      <c r="C60" s="407">
        <v>0</v>
      </c>
      <c r="D60" s="441">
        <v>10</v>
      </c>
      <c r="E60" s="442">
        <v>499.2</v>
      </c>
      <c r="F60" s="441">
        <v>10</v>
      </c>
      <c r="G60" s="407">
        <v>499.2</v>
      </c>
      <c r="H60" s="369">
        <v>93350.4</v>
      </c>
      <c r="I60" s="392">
        <v>187</v>
      </c>
      <c r="J60" s="210"/>
    </row>
    <row r="61" spans="1:10" ht="13.5" customHeight="1">
      <c r="A61" s="135" t="s">
        <v>68</v>
      </c>
      <c r="B61" s="440">
        <v>32</v>
      </c>
      <c r="C61" s="407">
        <v>1515.5</v>
      </c>
      <c r="D61" s="441">
        <v>0</v>
      </c>
      <c r="E61" s="442">
        <v>0</v>
      </c>
      <c r="F61" s="441">
        <v>32</v>
      </c>
      <c r="G61" s="407">
        <v>1515.5</v>
      </c>
      <c r="H61" s="369" t="s">
        <v>1724</v>
      </c>
      <c r="I61" s="392">
        <v>243.1</v>
      </c>
      <c r="J61" s="210"/>
    </row>
    <row r="62" spans="1:10" ht="13.5" customHeight="1">
      <c r="A62" s="135" t="s">
        <v>604</v>
      </c>
      <c r="B62" s="440">
        <v>20</v>
      </c>
      <c r="C62" s="407">
        <v>997</v>
      </c>
      <c r="D62" s="441">
        <v>0</v>
      </c>
      <c r="E62" s="442">
        <v>0</v>
      </c>
      <c r="F62" s="441">
        <v>20</v>
      </c>
      <c r="G62" s="407">
        <v>997</v>
      </c>
      <c r="H62" s="369" t="s">
        <v>1725</v>
      </c>
      <c r="I62" s="392">
        <v>288.5</v>
      </c>
      <c r="J62" s="210"/>
    </row>
    <row r="63" spans="1:10" ht="13.5" customHeight="1">
      <c r="A63" s="135" t="s">
        <v>1619</v>
      </c>
      <c r="B63" s="440">
        <v>10</v>
      </c>
      <c r="C63" s="407">
        <v>500</v>
      </c>
      <c r="D63" s="441">
        <v>0</v>
      </c>
      <c r="E63" s="442">
        <v>0</v>
      </c>
      <c r="F63" s="441">
        <v>10</v>
      </c>
      <c r="G63" s="407">
        <v>500</v>
      </c>
      <c r="H63" s="369">
        <v>65000</v>
      </c>
      <c r="I63" s="392">
        <v>130</v>
      </c>
      <c r="J63" s="210"/>
    </row>
    <row r="64" spans="1:10" ht="13.5" customHeight="1">
      <c r="A64" s="135" t="s">
        <v>112</v>
      </c>
      <c r="B64" s="440">
        <v>85</v>
      </c>
      <c r="C64" s="407">
        <v>4240.5</v>
      </c>
      <c r="D64" s="441">
        <v>0</v>
      </c>
      <c r="E64" s="442">
        <v>0</v>
      </c>
      <c r="F64" s="441">
        <v>85</v>
      </c>
      <c r="G64" s="407">
        <v>4240.5</v>
      </c>
      <c r="H64" s="369" t="s">
        <v>1726</v>
      </c>
      <c r="I64" s="392">
        <v>292.69</v>
      </c>
      <c r="J64" s="210"/>
    </row>
    <row r="65" spans="1:10" ht="13.5" customHeight="1">
      <c r="A65" s="135" t="s">
        <v>1580</v>
      </c>
      <c r="B65" s="440">
        <v>150</v>
      </c>
      <c r="C65" s="407">
        <v>7474.5</v>
      </c>
      <c r="D65" s="441">
        <v>0</v>
      </c>
      <c r="E65" s="442">
        <v>0</v>
      </c>
      <c r="F65" s="441">
        <v>150</v>
      </c>
      <c r="G65" s="407">
        <v>7474.5</v>
      </c>
      <c r="H65" s="369" t="s">
        <v>1581</v>
      </c>
      <c r="I65" s="392">
        <v>131.07</v>
      </c>
      <c r="J65" s="210"/>
    </row>
    <row r="66" spans="1:10" ht="13.5" customHeight="1">
      <c r="A66" s="135" t="s">
        <v>194</v>
      </c>
      <c r="B66" s="440">
        <v>15</v>
      </c>
      <c r="C66" s="407">
        <v>748</v>
      </c>
      <c r="D66" s="441">
        <v>331</v>
      </c>
      <c r="E66" s="442">
        <v>16517.7</v>
      </c>
      <c r="F66" s="441">
        <v>346</v>
      </c>
      <c r="G66" s="407">
        <v>17265.7</v>
      </c>
      <c r="H66" s="369" t="s">
        <v>1727</v>
      </c>
      <c r="I66" s="392">
        <v>188.03</v>
      </c>
      <c r="J66" s="210"/>
    </row>
    <row r="67" spans="1:10" ht="13.5" customHeight="1">
      <c r="A67" s="135" t="s">
        <v>49</v>
      </c>
      <c r="B67" s="440">
        <v>21</v>
      </c>
      <c r="C67" s="407">
        <v>1048</v>
      </c>
      <c r="D67" s="441">
        <v>0</v>
      </c>
      <c r="E67" s="442">
        <v>0</v>
      </c>
      <c r="F67" s="441">
        <v>21</v>
      </c>
      <c r="G67" s="407">
        <v>1048</v>
      </c>
      <c r="H67" s="369" t="s">
        <v>1728</v>
      </c>
      <c r="I67" s="392">
        <v>333.11</v>
      </c>
      <c r="J67" s="210"/>
    </row>
    <row r="68" spans="1:10" ht="13.5" customHeight="1">
      <c r="A68" s="135" t="s">
        <v>50</v>
      </c>
      <c r="B68" s="440">
        <v>40</v>
      </c>
      <c r="C68" s="407">
        <v>1995.5</v>
      </c>
      <c r="D68" s="441">
        <v>88</v>
      </c>
      <c r="E68" s="442">
        <v>4389.2</v>
      </c>
      <c r="F68" s="441">
        <v>128</v>
      </c>
      <c r="G68" s="407">
        <v>6384.7</v>
      </c>
      <c r="H68" s="369" t="s">
        <v>1729</v>
      </c>
      <c r="I68" s="392">
        <v>198.07</v>
      </c>
      <c r="J68" s="210"/>
    </row>
    <row r="69" spans="1:10" ht="13.5" customHeight="1">
      <c r="A69" s="135" t="s">
        <v>1263</v>
      </c>
      <c r="B69" s="440"/>
      <c r="C69" s="407">
        <v>0</v>
      </c>
      <c r="D69" s="441">
        <v>80</v>
      </c>
      <c r="E69" s="442">
        <v>3992</v>
      </c>
      <c r="F69" s="441">
        <v>80</v>
      </c>
      <c r="G69" s="407">
        <v>3992</v>
      </c>
      <c r="H69" s="369" t="s">
        <v>1622</v>
      </c>
      <c r="I69" s="392">
        <v>194.12</v>
      </c>
      <c r="J69" s="210"/>
    </row>
    <row r="70" spans="1:10" ht="13.5" customHeight="1">
      <c r="A70" s="135" t="s">
        <v>70</v>
      </c>
      <c r="B70" s="440">
        <v>62</v>
      </c>
      <c r="C70" s="407">
        <v>3097</v>
      </c>
      <c r="D70" s="441">
        <v>0</v>
      </c>
      <c r="E70" s="442">
        <v>0</v>
      </c>
      <c r="F70" s="441">
        <v>62</v>
      </c>
      <c r="G70" s="407">
        <v>3097</v>
      </c>
      <c r="H70" s="369" t="s">
        <v>1730</v>
      </c>
      <c r="I70" s="392">
        <v>232.59</v>
      </c>
      <c r="J70" s="210"/>
    </row>
    <row r="71" spans="1:10" ht="13.5" customHeight="1">
      <c r="A71" s="135" t="s">
        <v>51</v>
      </c>
      <c r="B71" s="440">
        <v>327</v>
      </c>
      <c r="C71" s="407">
        <v>16262.5</v>
      </c>
      <c r="D71" s="441">
        <v>439</v>
      </c>
      <c r="E71" s="442">
        <v>21904</v>
      </c>
      <c r="F71" s="441">
        <v>766</v>
      </c>
      <c r="G71" s="407">
        <v>38166.5</v>
      </c>
      <c r="H71" s="369">
        <v>6662485.100000001</v>
      </c>
      <c r="I71" s="392">
        <v>174.56369067113832</v>
      </c>
      <c r="J71" s="210"/>
    </row>
    <row r="72" spans="1:10" ht="13.5" customHeight="1">
      <c r="A72" s="135" t="s">
        <v>52</v>
      </c>
      <c r="B72" s="440">
        <v>20</v>
      </c>
      <c r="C72" s="407">
        <v>998.5</v>
      </c>
      <c r="D72" s="441">
        <v>0</v>
      </c>
      <c r="E72" s="442">
        <v>0</v>
      </c>
      <c r="F72" s="441">
        <v>20</v>
      </c>
      <c r="G72" s="407">
        <v>998.5</v>
      </c>
      <c r="H72" s="369" t="s">
        <v>1731</v>
      </c>
      <c r="I72" s="392">
        <v>197.38</v>
      </c>
      <c r="J72" s="210"/>
    </row>
    <row r="73" spans="1:10" ht="13.5" customHeight="1">
      <c r="A73" s="135" t="s">
        <v>1624</v>
      </c>
      <c r="B73" s="440">
        <v>20</v>
      </c>
      <c r="C73" s="407">
        <v>997</v>
      </c>
      <c r="D73" s="441">
        <v>0</v>
      </c>
      <c r="E73" s="442">
        <v>0</v>
      </c>
      <c r="F73" s="441">
        <v>20</v>
      </c>
      <c r="G73" s="407">
        <v>997</v>
      </c>
      <c r="H73" s="369" t="s">
        <v>1625</v>
      </c>
      <c r="I73" s="392">
        <v>214</v>
      </c>
      <c r="J73" s="210"/>
    </row>
    <row r="74" spans="1:10" ht="13.5" customHeight="1">
      <c r="A74" s="135" t="s">
        <v>1401</v>
      </c>
      <c r="B74" s="440">
        <v>2</v>
      </c>
      <c r="C74" s="407">
        <v>20</v>
      </c>
      <c r="D74" s="441">
        <v>0</v>
      </c>
      <c r="E74" s="442">
        <v>0</v>
      </c>
      <c r="F74" s="441">
        <v>2</v>
      </c>
      <c r="G74" s="407">
        <v>20</v>
      </c>
      <c r="H74" s="369">
        <v>28000</v>
      </c>
      <c r="I74" s="392">
        <v>1400</v>
      </c>
      <c r="J74" s="210"/>
    </row>
    <row r="75" spans="1:10" ht="13.5" customHeight="1">
      <c r="A75" s="135" t="s">
        <v>281</v>
      </c>
      <c r="B75" s="440">
        <v>76</v>
      </c>
      <c r="C75" s="407">
        <v>3791</v>
      </c>
      <c r="D75" s="441">
        <v>0</v>
      </c>
      <c r="E75" s="442">
        <v>0</v>
      </c>
      <c r="F75" s="441">
        <v>76</v>
      </c>
      <c r="G75" s="407">
        <v>3791</v>
      </c>
      <c r="H75" s="369" t="s">
        <v>1732</v>
      </c>
      <c r="I75" s="392">
        <v>181.25</v>
      </c>
      <c r="J75" s="210"/>
    </row>
    <row r="76" spans="1:10" ht="13.5" customHeight="1">
      <c r="A76" s="135" t="s">
        <v>149</v>
      </c>
      <c r="B76" s="440">
        <v>35</v>
      </c>
      <c r="C76" s="407">
        <v>1748.5</v>
      </c>
      <c r="D76" s="441">
        <v>10</v>
      </c>
      <c r="E76" s="442">
        <v>499.2</v>
      </c>
      <c r="F76" s="441">
        <v>45</v>
      </c>
      <c r="G76" s="407">
        <v>2247.7</v>
      </c>
      <c r="H76" s="369" t="s">
        <v>1733</v>
      </c>
      <c r="I76" s="392">
        <v>281.89</v>
      </c>
      <c r="J76" s="210"/>
    </row>
    <row r="77" spans="1:10" ht="13.5" customHeight="1">
      <c r="A77" s="135" t="s">
        <v>1021</v>
      </c>
      <c r="B77" s="440"/>
      <c r="C77" s="407">
        <v>0</v>
      </c>
      <c r="D77" s="441">
        <v>45</v>
      </c>
      <c r="E77" s="442">
        <v>2245.3</v>
      </c>
      <c r="F77" s="441">
        <v>45</v>
      </c>
      <c r="G77" s="407">
        <v>2245.3</v>
      </c>
      <c r="H77" s="369" t="s">
        <v>1734</v>
      </c>
      <c r="I77" s="392">
        <v>155.17</v>
      </c>
      <c r="J77" s="210"/>
    </row>
    <row r="78" spans="1:10" ht="13.5" customHeight="1">
      <c r="A78" s="135" t="s">
        <v>411</v>
      </c>
      <c r="B78" s="440">
        <v>41</v>
      </c>
      <c r="C78" s="407">
        <v>2050</v>
      </c>
      <c r="D78" s="441">
        <v>5</v>
      </c>
      <c r="E78" s="442">
        <v>249.5</v>
      </c>
      <c r="F78" s="441">
        <v>46</v>
      </c>
      <c r="G78" s="407">
        <v>2299.5</v>
      </c>
      <c r="H78" s="369" t="s">
        <v>1735</v>
      </c>
      <c r="I78" s="392">
        <v>307.07</v>
      </c>
      <c r="J78" s="210"/>
    </row>
    <row r="79" spans="1:10" ht="13.5" customHeight="1">
      <c r="A79" s="135" t="s">
        <v>1472</v>
      </c>
      <c r="B79" s="440">
        <v>20</v>
      </c>
      <c r="C79" s="407">
        <v>997</v>
      </c>
      <c r="D79" s="441">
        <v>0</v>
      </c>
      <c r="E79" s="442">
        <v>0</v>
      </c>
      <c r="F79" s="441">
        <v>20</v>
      </c>
      <c r="G79" s="407">
        <v>997</v>
      </c>
      <c r="H79" s="369" t="s">
        <v>1736</v>
      </c>
      <c r="I79" s="392">
        <v>292</v>
      </c>
      <c r="J79" s="210"/>
    </row>
    <row r="80" spans="1:10" ht="13.5" customHeight="1">
      <c r="A80" s="135" t="s">
        <v>198</v>
      </c>
      <c r="B80" s="440">
        <v>405</v>
      </c>
      <c r="C80" s="407">
        <v>20202</v>
      </c>
      <c r="D80" s="441">
        <v>700</v>
      </c>
      <c r="E80" s="442">
        <v>34938.2</v>
      </c>
      <c r="F80" s="441">
        <v>1105</v>
      </c>
      <c r="G80" s="407">
        <v>55140.2</v>
      </c>
      <c r="H80" s="369" t="s">
        <v>1737</v>
      </c>
      <c r="I80" s="392">
        <v>186.62</v>
      </c>
      <c r="J80" s="210"/>
    </row>
    <row r="81" spans="1:10" ht="13.5" customHeight="1">
      <c r="A81" s="135" t="s">
        <v>707</v>
      </c>
      <c r="B81" s="440">
        <v>366</v>
      </c>
      <c r="C81" s="407">
        <v>18253.5</v>
      </c>
      <c r="D81" s="441">
        <v>0</v>
      </c>
      <c r="E81" s="442">
        <v>0</v>
      </c>
      <c r="F81" s="441">
        <v>366</v>
      </c>
      <c r="G81" s="407">
        <v>18253.5</v>
      </c>
      <c r="H81" s="369" t="s">
        <v>1738</v>
      </c>
      <c r="I81" s="392">
        <v>160.54</v>
      </c>
      <c r="J81" s="210"/>
    </row>
    <row r="82" spans="1:10" ht="13.5" customHeight="1">
      <c r="A82" s="135" t="s">
        <v>374</v>
      </c>
      <c r="B82" s="440">
        <v>160</v>
      </c>
      <c r="C82" s="407">
        <v>7973</v>
      </c>
      <c r="D82" s="441">
        <v>4</v>
      </c>
      <c r="E82" s="442">
        <v>199.5</v>
      </c>
      <c r="F82" s="441">
        <v>164</v>
      </c>
      <c r="G82" s="407">
        <v>8172.5</v>
      </c>
      <c r="H82" s="369" t="s">
        <v>1739</v>
      </c>
      <c r="I82" s="392">
        <v>169.35</v>
      </c>
      <c r="J82" s="210"/>
    </row>
    <row r="83" spans="1:10" ht="13.5" customHeight="1">
      <c r="A83" s="135" t="s">
        <v>53</v>
      </c>
      <c r="B83" s="440">
        <v>2225</v>
      </c>
      <c r="C83" s="407">
        <v>110908.5</v>
      </c>
      <c r="D83" s="441">
        <v>82</v>
      </c>
      <c r="E83" s="442">
        <v>4092.6</v>
      </c>
      <c r="F83" s="441">
        <v>2307</v>
      </c>
      <c r="G83" s="407">
        <v>115001.1</v>
      </c>
      <c r="H83" s="369">
        <v>22867612.2</v>
      </c>
      <c r="I83" s="392">
        <v>198.84689972530697</v>
      </c>
      <c r="J83" s="210"/>
    </row>
    <row r="84" spans="1:10" ht="13.5" customHeight="1">
      <c r="A84" s="135" t="s">
        <v>201</v>
      </c>
      <c r="B84" s="440">
        <v>200</v>
      </c>
      <c r="C84" s="407">
        <v>9973</v>
      </c>
      <c r="D84" s="441">
        <v>60</v>
      </c>
      <c r="E84" s="442">
        <v>2995.2</v>
      </c>
      <c r="F84" s="441">
        <v>260</v>
      </c>
      <c r="G84" s="407">
        <v>12968.2</v>
      </c>
      <c r="H84" s="369" t="s">
        <v>1740</v>
      </c>
      <c r="I84" s="392">
        <v>203.01</v>
      </c>
      <c r="J84" s="210"/>
    </row>
    <row r="85" spans="1:10" ht="13.5" customHeight="1">
      <c r="A85" s="135" t="s">
        <v>54</v>
      </c>
      <c r="B85" s="440">
        <v>88</v>
      </c>
      <c r="C85" s="407">
        <v>4306.5</v>
      </c>
      <c r="D85" s="441">
        <v>492</v>
      </c>
      <c r="E85" s="442">
        <v>24552.3</v>
      </c>
      <c r="F85" s="441">
        <v>580</v>
      </c>
      <c r="G85" s="407">
        <v>28858.8</v>
      </c>
      <c r="H85" s="369">
        <v>5886802.8</v>
      </c>
      <c r="I85" s="392">
        <v>203.98640276102955</v>
      </c>
      <c r="J85" s="210"/>
    </row>
    <row r="86" spans="1:10" ht="13.5" customHeight="1">
      <c r="A86" s="135" t="s">
        <v>1630</v>
      </c>
      <c r="B86" s="440">
        <v>20</v>
      </c>
      <c r="C86" s="407">
        <v>997</v>
      </c>
      <c r="D86" s="441">
        <v>0</v>
      </c>
      <c r="E86" s="442">
        <v>0</v>
      </c>
      <c r="F86" s="441">
        <v>20</v>
      </c>
      <c r="G86" s="407">
        <v>997</v>
      </c>
      <c r="H86" s="369" t="s">
        <v>1631</v>
      </c>
      <c r="I86" s="392">
        <v>139.5</v>
      </c>
      <c r="J86" s="210"/>
    </row>
    <row r="87" spans="1:10" ht="13.5" customHeight="1">
      <c r="A87" s="135" t="s">
        <v>1309</v>
      </c>
      <c r="B87" s="440">
        <v>201</v>
      </c>
      <c r="C87" s="407">
        <v>10021.5</v>
      </c>
      <c r="D87" s="441">
        <v>0</v>
      </c>
      <c r="E87" s="442">
        <v>0</v>
      </c>
      <c r="F87" s="441">
        <v>201</v>
      </c>
      <c r="G87" s="407">
        <v>10021.5</v>
      </c>
      <c r="H87" s="369" t="s">
        <v>1741</v>
      </c>
      <c r="I87" s="392">
        <v>160.68</v>
      </c>
      <c r="J87" s="210"/>
    </row>
    <row r="88" spans="1:10" ht="13.5" customHeight="1">
      <c r="A88" s="135" t="s">
        <v>71</v>
      </c>
      <c r="B88" s="440">
        <v>617</v>
      </c>
      <c r="C88" s="407">
        <v>30736.5</v>
      </c>
      <c r="D88" s="441">
        <v>502</v>
      </c>
      <c r="E88" s="442">
        <v>25056.4</v>
      </c>
      <c r="F88" s="441">
        <v>1119</v>
      </c>
      <c r="G88" s="407">
        <v>55792.9</v>
      </c>
      <c r="H88" s="369" t="s">
        <v>1742</v>
      </c>
      <c r="I88" s="392">
        <v>180.36</v>
      </c>
      <c r="J88" s="210"/>
    </row>
    <row r="89" spans="1:10" ht="13.5" customHeight="1">
      <c r="A89" s="135" t="s">
        <v>243</v>
      </c>
      <c r="B89" s="440">
        <v>680</v>
      </c>
      <c r="C89" s="407">
        <v>33910</v>
      </c>
      <c r="D89" s="441">
        <v>255</v>
      </c>
      <c r="E89" s="442">
        <v>12725.8</v>
      </c>
      <c r="F89" s="441">
        <v>935</v>
      </c>
      <c r="G89" s="407">
        <v>46635.8</v>
      </c>
      <c r="H89" s="369" t="s">
        <v>1743</v>
      </c>
      <c r="I89" s="392">
        <v>170.61</v>
      </c>
      <c r="J89" s="210"/>
    </row>
    <row r="90" spans="1:10" ht="13.5" customHeight="1">
      <c r="A90" s="135" t="s">
        <v>874</v>
      </c>
      <c r="B90" s="440"/>
      <c r="C90" s="407">
        <v>0</v>
      </c>
      <c r="D90" s="441">
        <v>225</v>
      </c>
      <c r="E90" s="442">
        <v>11233.2</v>
      </c>
      <c r="F90" s="441">
        <v>225</v>
      </c>
      <c r="G90" s="407">
        <v>11233.2</v>
      </c>
      <c r="H90" s="369" t="s">
        <v>1744</v>
      </c>
      <c r="I90" s="392">
        <v>147.87</v>
      </c>
      <c r="J90" s="210"/>
    </row>
    <row r="91" spans="1:10" ht="13.5" customHeight="1">
      <c r="A91" s="135" t="s">
        <v>746</v>
      </c>
      <c r="B91" s="440">
        <v>20</v>
      </c>
      <c r="C91" s="407">
        <v>997</v>
      </c>
      <c r="D91" s="441">
        <v>0</v>
      </c>
      <c r="E91" s="442">
        <v>0</v>
      </c>
      <c r="F91" s="441">
        <v>20</v>
      </c>
      <c r="G91" s="407">
        <v>997</v>
      </c>
      <c r="H91" s="369" t="s">
        <v>1674</v>
      </c>
      <c r="I91" s="392">
        <v>312</v>
      </c>
      <c r="J91" s="210"/>
    </row>
    <row r="92" spans="1:10" ht="13.5" customHeight="1">
      <c r="A92" s="135" t="s">
        <v>379</v>
      </c>
      <c r="B92" s="440">
        <v>2966</v>
      </c>
      <c r="C92" s="407" t="s">
        <v>1745</v>
      </c>
      <c r="D92" s="441">
        <v>0</v>
      </c>
      <c r="E92" s="442">
        <v>0</v>
      </c>
      <c r="F92" s="441">
        <v>2966</v>
      </c>
      <c r="G92" s="407" t="s">
        <v>1745</v>
      </c>
      <c r="H92" s="369" t="s">
        <v>1746</v>
      </c>
      <c r="I92" s="392">
        <v>211.29</v>
      </c>
      <c r="J92" s="210"/>
    </row>
    <row r="93" spans="1:10" ht="13.5" customHeight="1">
      <c r="A93" s="135" t="s">
        <v>288</v>
      </c>
      <c r="B93" s="440">
        <v>31</v>
      </c>
      <c r="C93" s="407">
        <v>1548</v>
      </c>
      <c r="D93" s="441">
        <v>0</v>
      </c>
      <c r="E93" s="442">
        <v>0</v>
      </c>
      <c r="F93" s="441">
        <v>31</v>
      </c>
      <c r="G93" s="407">
        <v>1548</v>
      </c>
      <c r="H93" s="369" t="s">
        <v>1747</v>
      </c>
      <c r="I93" s="392">
        <v>303.38</v>
      </c>
      <c r="J93" s="210"/>
    </row>
    <row r="94" spans="1:10" ht="13.5" customHeight="1">
      <c r="A94" s="135" t="s">
        <v>1315</v>
      </c>
      <c r="B94" s="440">
        <v>30</v>
      </c>
      <c r="C94" s="407">
        <v>1495.5</v>
      </c>
      <c r="D94" s="441">
        <v>0</v>
      </c>
      <c r="E94" s="442">
        <v>0</v>
      </c>
      <c r="F94" s="441">
        <v>30</v>
      </c>
      <c r="G94" s="407">
        <v>1495.5</v>
      </c>
      <c r="H94" s="369" t="s">
        <v>1316</v>
      </c>
      <c r="I94" s="392">
        <v>145.67</v>
      </c>
      <c r="J94" s="210"/>
    </row>
    <row r="95" spans="1:10" ht="13.5" customHeight="1">
      <c r="A95" s="135" t="s">
        <v>57</v>
      </c>
      <c r="B95" s="499">
        <v>206</v>
      </c>
      <c r="C95" s="500">
        <v>10273</v>
      </c>
      <c r="D95" s="501">
        <v>0</v>
      </c>
      <c r="E95" s="502">
        <v>0</v>
      </c>
      <c r="F95" s="501">
        <v>206</v>
      </c>
      <c r="G95" s="500">
        <v>10273</v>
      </c>
      <c r="H95" s="379" t="s">
        <v>1748</v>
      </c>
      <c r="I95" s="503">
        <v>228.48</v>
      </c>
      <c r="J95" s="210"/>
    </row>
    <row r="96" spans="1:10" ht="13.5" customHeight="1">
      <c r="A96" s="135" t="s">
        <v>19</v>
      </c>
      <c r="B96" s="499">
        <v>37159</v>
      </c>
      <c r="C96" s="500" t="s">
        <v>1749</v>
      </c>
      <c r="D96" s="501">
        <v>9172</v>
      </c>
      <c r="E96" s="502" t="s">
        <v>1750</v>
      </c>
      <c r="F96" s="501">
        <v>46331</v>
      </c>
      <c r="G96" s="500" t="s">
        <v>1751</v>
      </c>
      <c r="H96" s="379" t="s">
        <v>1752</v>
      </c>
      <c r="I96" s="503">
        <v>196.62</v>
      </c>
      <c r="J96" s="210"/>
    </row>
    <row r="97" spans="1:10" ht="13.5" customHeight="1">
      <c r="A97" s="131"/>
      <c r="B97" s="103"/>
      <c r="C97" s="227"/>
      <c r="D97" s="231"/>
      <c r="E97" s="228"/>
      <c r="F97" s="231"/>
      <c r="G97" s="228"/>
      <c r="H97" s="134"/>
      <c r="I97" s="229"/>
      <c r="J97" s="210"/>
    </row>
    <row r="98" spans="1:10" ht="13.5" customHeight="1">
      <c r="A98" s="142" t="s">
        <v>62</v>
      </c>
      <c r="B98" s="388"/>
      <c r="C98" s="399"/>
      <c r="D98" s="143"/>
      <c r="E98" s="399"/>
      <c r="F98" s="143"/>
      <c r="G98" s="405"/>
      <c r="H98" s="389"/>
      <c r="I98" s="408"/>
      <c r="J98" s="210"/>
    </row>
    <row r="99" spans="1:12" ht="13.5" customHeight="1">
      <c r="A99" s="142" t="s">
        <v>63</v>
      </c>
      <c r="B99" s="388"/>
      <c r="C99" s="399"/>
      <c r="D99" s="143"/>
      <c r="E99" s="399"/>
      <c r="F99" s="143"/>
      <c r="G99" s="406" t="s">
        <v>64</v>
      </c>
      <c r="H99" s="389"/>
      <c r="I99" s="409"/>
      <c r="J99" s="210"/>
      <c r="L99" s="232"/>
    </row>
    <row r="100" spans="1:10" ht="13.5" customHeight="1">
      <c r="A100" s="142" t="s">
        <v>157</v>
      </c>
      <c r="B100" s="388"/>
      <c r="C100" s="399"/>
      <c r="D100" s="143"/>
      <c r="E100" s="399"/>
      <c r="F100" s="143"/>
      <c r="G100" s="103"/>
      <c r="H100" s="407" t="s">
        <v>66</v>
      </c>
      <c r="I100" s="408"/>
      <c r="J100" s="210"/>
    </row>
    <row r="101" spans="1:10" ht="13.5" customHeight="1">
      <c r="A101" s="142" t="s">
        <v>158</v>
      </c>
      <c r="B101" s="388"/>
      <c r="C101" s="399"/>
      <c r="D101" s="143"/>
      <c r="E101" s="399"/>
      <c r="F101" s="143"/>
      <c r="G101" s="405"/>
      <c r="H101" s="389"/>
      <c r="I101" s="408"/>
      <c r="J101" s="210"/>
    </row>
    <row r="102" spans="1:10" ht="13.5" customHeight="1">
      <c r="A102" s="142" t="s">
        <v>159</v>
      </c>
      <c r="B102" s="388"/>
      <c r="C102" s="399"/>
      <c r="D102" s="143"/>
      <c r="E102" s="399"/>
      <c r="F102" s="143"/>
      <c r="G102" s="405"/>
      <c r="H102" s="389"/>
      <c r="I102" s="408"/>
      <c r="J102" s="210"/>
    </row>
    <row r="103" spans="1:10" ht="13.5" customHeight="1">
      <c r="A103" s="103"/>
      <c r="B103" s="388"/>
      <c r="C103" s="399"/>
      <c r="D103" s="103"/>
      <c r="E103" s="399"/>
      <c r="F103" s="103"/>
      <c r="G103" s="399"/>
      <c r="H103" s="391"/>
      <c r="I103" s="391"/>
      <c r="J103" s="203"/>
    </row>
    <row r="104" spans="1:10" ht="13.5" customHeight="1">
      <c r="A104" s="103"/>
      <c r="B104" s="388"/>
      <c r="C104" s="399"/>
      <c r="D104" s="103"/>
      <c r="E104" s="399"/>
      <c r="F104" s="103"/>
      <c r="G104" s="399"/>
      <c r="H104" s="391"/>
      <c r="I104" s="391"/>
      <c r="J104" s="203"/>
    </row>
    <row r="105" spans="1:9" ht="13.5" customHeight="1">
      <c r="A105" s="103"/>
      <c r="B105" s="388"/>
      <c r="C105" s="399"/>
      <c r="D105" s="103"/>
      <c r="E105" s="399"/>
      <c r="F105" s="103"/>
      <c r="G105" s="399"/>
      <c r="H105" s="391"/>
      <c r="I105" s="391"/>
    </row>
    <row r="106" spans="1:9" ht="13.5" customHeight="1">
      <c r="A106" s="103"/>
      <c r="B106" s="388"/>
      <c r="C106" s="399"/>
      <c r="D106" s="103"/>
      <c r="E106" s="399"/>
      <c r="F106" s="103"/>
      <c r="G106" s="399"/>
      <c r="H106" s="391"/>
      <c r="I106" s="391"/>
    </row>
    <row r="107" spans="1:9" ht="13.5" customHeight="1">
      <c r="A107" s="103"/>
      <c r="B107" s="388"/>
      <c r="C107" s="399"/>
      <c r="D107" s="103"/>
      <c r="E107" s="399"/>
      <c r="F107" s="103"/>
      <c r="G107" s="399"/>
      <c r="H107" s="391"/>
      <c r="I107" s="391"/>
    </row>
    <row r="108" spans="1:9" ht="13.5" customHeight="1">
      <c r="A108" s="103"/>
      <c r="B108" s="388"/>
      <c r="C108" s="399"/>
      <c r="D108" s="103"/>
      <c r="E108" s="399"/>
      <c r="F108" s="103"/>
      <c r="G108" s="399"/>
      <c r="H108" s="391"/>
      <c r="I108" s="391"/>
    </row>
    <row r="109" spans="1:9" ht="13.5" customHeight="1">
      <c r="A109" s="103"/>
      <c r="B109" s="388"/>
      <c r="C109" s="399"/>
      <c r="D109" s="103"/>
      <c r="E109" s="399"/>
      <c r="F109" s="103"/>
      <c r="G109" s="399"/>
      <c r="H109" s="391"/>
      <c r="I109" s="391"/>
    </row>
    <row r="110" spans="1:9" ht="13.5" customHeight="1">
      <c r="A110" s="103"/>
      <c r="B110" s="388"/>
      <c r="C110" s="399"/>
      <c r="D110" s="103"/>
      <c r="E110" s="399"/>
      <c r="F110" s="103"/>
      <c r="G110" s="399"/>
      <c r="H110" s="391"/>
      <c r="I110" s="391"/>
    </row>
    <row r="111" spans="1:9" ht="13.5" customHeight="1">
      <c r="A111" s="103"/>
      <c r="B111" s="388"/>
      <c r="C111" s="399"/>
      <c r="D111" s="103"/>
      <c r="E111" s="399"/>
      <c r="F111" s="103"/>
      <c r="G111" s="399"/>
      <c r="H111" s="391"/>
      <c r="I111" s="391"/>
    </row>
    <row r="112" spans="1:9" ht="13.5" customHeight="1">
      <c r="A112" s="103"/>
      <c r="B112" s="388"/>
      <c r="C112" s="399"/>
      <c r="D112" s="103"/>
      <c r="E112" s="399"/>
      <c r="F112" s="103"/>
      <c r="G112" s="399"/>
      <c r="H112" s="391"/>
      <c r="I112" s="391"/>
    </row>
    <row r="113" spans="1:9" ht="13.5" customHeight="1">
      <c r="A113" s="103"/>
      <c r="B113" s="388"/>
      <c r="C113" s="399"/>
      <c r="D113" s="103"/>
      <c r="E113" s="399"/>
      <c r="F113" s="103"/>
      <c r="G113" s="399"/>
      <c r="H113" s="391"/>
      <c r="I113" s="391"/>
    </row>
    <row r="114" spans="1:9" ht="13.5" customHeight="1">
      <c r="A114" s="103"/>
      <c r="B114" s="388"/>
      <c r="C114" s="399"/>
      <c r="D114" s="103"/>
      <c r="E114" s="399"/>
      <c r="F114" s="103"/>
      <c r="G114" s="399"/>
      <c r="H114" s="391"/>
      <c r="I114" s="391"/>
    </row>
    <row r="115" spans="1:9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</row>
    <row r="116" spans="1:9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</sheetData>
  <sheetProtection/>
  <printOptions/>
  <pageMargins left="0.6" right="0.25" top="1" bottom="0.5" header="0.3" footer="0.3"/>
  <pageSetup horizontalDpi="600" verticalDpi="600" orientation="portrait" scale="75" r:id="rId1"/>
  <headerFooter>
    <oddHeader>&amp;L&amp;D&amp;RProduce Brokers Limited
1349/A, North Agrabad, Akkerabad (1st FLoor)
Chattogram-4224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4" sqref="A14:I14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516" t="s">
        <v>1653</v>
      </c>
      <c r="B1" s="517"/>
      <c r="C1" s="518"/>
      <c r="D1" s="517"/>
      <c r="E1" s="518"/>
      <c r="F1" s="517"/>
      <c r="G1" s="520"/>
      <c r="H1" s="521"/>
      <c r="I1" s="522"/>
    </row>
    <row r="2" spans="1:9" ht="15" customHeight="1">
      <c r="A2" s="523" t="s">
        <v>1654</v>
      </c>
      <c r="B2" s="517"/>
      <c r="C2" s="518"/>
      <c r="D2" s="517"/>
      <c r="E2" s="518"/>
      <c r="F2" s="517"/>
      <c r="G2" s="520"/>
      <c r="H2" s="521"/>
      <c r="I2" s="522"/>
    </row>
    <row r="3" spans="1:9" ht="15" customHeight="1">
      <c r="A3" s="51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" customHeight="1">
      <c r="A4" s="51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" customHeight="1">
      <c r="A5" s="516" t="s">
        <v>9</v>
      </c>
      <c r="B5" s="517"/>
      <c r="C5" s="518"/>
      <c r="D5" s="517"/>
      <c r="E5" s="518"/>
      <c r="F5" s="517"/>
      <c r="G5" s="520"/>
      <c r="H5" s="521"/>
      <c r="I5" s="522"/>
    </row>
    <row r="6" spans="1:9" ht="15" customHeight="1">
      <c r="A6" s="51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" customHeight="1">
      <c r="A7" s="524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" customHeight="1">
      <c r="A8" s="526" t="s">
        <v>1655</v>
      </c>
      <c r="B8" s="527"/>
      <c r="C8" s="528"/>
      <c r="D8" s="527"/>
      <c r="E8" s="528"/>
      <c r="F8" s="527"/>
      <c r="G8" s="530"/>
      <c r="H8" s="531"/>
      <c r="I8" s="532"/>
    </row>
    <row r="9" spans="1:9" ht="15" customHeight="1">
      <c r="A9" s="526"/>
      <c r="B9" s="527"/>
      <c r="C9" s="528" t="s">
        <v>1656</v>
      </c>
      <c r="D9" s="527"/>
      <c r="E9" s="528"/>
      <c r="F9" s="527"/>
      <c r="G9" s="530"/>
      <c r="H9" s="531"/>
      <c r="I9" s="532"/>
    </row>
    <row r="10" spans="1:9" ht="15" customHeight="1">
      <c r="A10" s="524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 t="s">
        <v>35</v>
      </c>
      <c r="I10" s="532" t="s">
        <v>85</v>
      </c>
    </row>
    <row r="11" spans="1:9" ht="15" customHeight="1">
      <c r="A11" s="524" t="s">
        <v>86</v>
      </c>
      <c r="B11" s="533" t="s">
        <v>6</v>
      </c>
      <c r="C11" s="530" t="s">
        <v>87</v>
      </c>
      <c r="D11" s="527" t="s">
        <v>6</v>
      </c>
      <c r="E11" s="528" t="s">
        <v>87</v>
      </c>
      <c r="F11" s="527" t="s">
        <v>6</v>
      </c>
      <c r="G11" s="530" t="s">
        <v>87</v>
      </c>
      <c r="H11" s="531" t="s">
        <v>88</v>
      </c>
      <c r="I11" s="532"/>
    </row>
    <row r="12" spans="1:9" ht="15" customHeight="1">
      <c r="A12" s="534" t="s">
        <v>75</v>
      </c>
      <c r="B12" s="821"/>
      <c r="C12" s="536"/>
      <c r="D12" s="821">
        <v>0</v>
      </c>
      <c r="E12" s="536">
        <v>0</v>
      </c>
      <c r="F12" s="821"/>
      <c r="G12" s="536"/>
      <c r="H12" s="537"/>
      <c r="I12" s="537"/>
    </row>
    <row r="13" spans="1:9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</row>
    <row r="14" spans="1:9" ht="15" customHeight="1">
      <c r="A14" s="541" t="s">
        <v>89</v>
      </c>
      <c r="B14" s="542" t="s">
        <v>6</v>
      </c>
      <c r="C14" s="543" t="s">
        <v>87</v>
      </c>
      <c r="D14" s="822" t="s">
        <v>6</v>
      </c>
      <c r="E14" s="545" t="s">
        <v>87</v>
      </c>
      <c r="F14" s="822" t="s">
        <v>6</v>
      </c>
      <c r="G14" s="543" t="s">
        <v>87</v>
      </c>
      <c r="H14" s="540" t="s">
        <v>35</v>
      </c>
      <c r="I14" s="532" t="s">
        <v>85</v>
      </c>
    </row>
    <row r="15" spans="1:9" ht="15" customHeight="1">
      <c r="A15" s="534" t="s">
        <v>1379</v>
      </c>
      <c r="B15" s="823">
        <v>10</v>
      </c>
      <c r="C15" s="824">
        <v>499.5</v>
      </c>
      <c r="D15" s="823">
        <v>0</v>
      </c>
      <c r="E15" s="825">
        <v>0</v>
      </c>
      <c r="F15" s="823">
        <v>10</v>
      </c>
      <c r="G15" s="824">
        <v>499.5</v>
      </c>
      <c r="H15" s="826" t="s">
        <v>1657</v>
      </c>
      <c r="I15" s="549">
        <v>230</v>
      </c>
    </row>
    <row r="16" spans="1:9" ht="15" customHeight="1">
      <c r="A16" s="534" t="s">
        <v>347</v>
      </c>
      <c r="B16" s="823">
        <v>10</v>
      </c>
      <c r="C16" s="824">
        <v>498.5</v>
      </c>
      <c r="D16" s="823">
        <v>0</v>
      </c>
      <c r="E16" s="825">
        <v>0</v>
      </c>
      <c r="F16" s="823">
        <v>10</v>
      </c>
      <c r="G16" s="824">
        <v>498.5</v>
      </c>
      <c r="H16" s="826" t="s">
        <v>1020</v>
      </c>
      <c r="I16" s="549">
        <v>267</v>
      </c>
    </row>
    <row r="17" spans="1:9" ht="15" customHeight="1">
      <c r="A17" s="534" t="s">
        <v>36</v>
      </c>
      <c r="B17" s="823">
        <v>561</v>
      </c>
      <c r="C17" s="827">
        <v>27972</v>
      </c>
      <c r="D17" s="823">
        <v>10</v>
      </c>
      <c r="E17" s="825">
        <v>499</v>
      </c>
      <c r="F17" s="823">
        <v>571</v>
      </c>
      <c r="G17" s="827">
        <v>28471</v>
      </c>
      <c r="H17" s="826" t="s">
        <v>1658</v>
      </c>
      <c r="I17" s="549">
        <v>203.73</v>
      </c>
    </row>
    <row r="18" spans="1:9" ht="15" customHeight="1">
      <c r="A18" s="534" t="s">
        <v>490</v>
      </c>
      <c r="B18" s="823">
        <v>71</v>
      </c>
      <c r="C18" s="826">
        <v>3539.5</v>
      </c>
      <c r="D18" s="823">
        <v>0</v>
      </c>
      <c r="E18" s="825">
        <v>0</v>
      </c>
      <c r="F18" s="823">
        <v>71</v>
      </c>
      <c r="G18" s="826">
        <v>3539.5</v>
      </c>
      <c r="H18" s="826" t="s">
        <v>1659</v>
      </c>
      <c r="I18" s="549">
        <v>190.43</v>
      </c>
    </row>
    <row r="19" spans="1:9" ht="15" customHeight="1">
      <c r="A19" s="534" t="s">
        <v>213</v>
      </c>
      <c r="B19" s="823">
        <v>125</v>
      </c>
      <c r="C19" s="826">
        <v>6236.5</v>
      </c>
      <c r="D19" s="823">
        <v>0</v>
      </c>
      <c r="E19" s="825">
        <v>0</v>
      </c>
      <c r="F19" s="823">
        <v>125</v>
      </c>
      <c r="G19" s="826">
        <v>6236.5</v>
      </c>
      <c r="H19" s="826" t="s">
        <v>1660</v>
      </c>
      <c r="I19" s="549">
        <v>145.03</v>
      </c>
    </row>
    <row r="20" spans="1:9" ht="15" customHeight="1">
      <c r="A20" s="534" t="s">
        <v>586</v>
      </c>
      <c r="B20" s="828"/>
      <c r="C20" s="825">
        <v>0</v>
      </c>
      <c r="D20" s="823">
        <v>50</v>
      </c>
      <c r="E20" s="827">
        <v>2494.4</v>
      </c>
      <c r="F20" s="823">
        <v>50</v>
      </c>
      <c r="G20" s="827">
        <v>2494.4</v>
      </c>
      <c r="H20" s="826">
        <v>366437.2</v>
      </c>
      <c r="I20" s="549">
        <v>146.90394483643362</v>
      </c>
    </row>
    <row r="21" spans="1:9" ht="15" customHeight="1">
      <c r="A21" s="534" t="s">
        <v>38</v>
      </c>
      <c r="B21" s="823">
        <v>30</v>
      </c>
      <c r="C21" s="826">
        <v>1495.5</v>
      </c>
      <c r="D21" s="823">
        <v>0</v>
      </c>
      <c r="E21" s="825">
        <v>0</v>
      </c>
      <c r="F21" s="823">
        <v>30</v>
      </c>
      <c r="G21" s="826">
        <v>1495.5</v>
      </c>
      <c r="H21" s="826" t="s">
        <v>1661</v>
      </c>
      <c r="I21" s="549">
        <v>127.67</v>
      </c>
    </row>
    <row r="22" spans="1:9" ht="15" customHeight="1">
      <c r="A22" s="534" t="s">
        <v>170</v>
      </c>
      <c r="B22" s="828"/>
      <c r="C22" s="825">
        <v>0</v>
      </c>
      <c r="D22" s="823">
        <v>60</v>
      </c>
      <c r="E22" s="826">
        <v>2994.4</v>
      </c>
      <c r="F22" s="823">
        <v>60</v>
      </c>
      <c r="G22" s="826">
        <v>2994.4</v>
      </c>
      <c r="H22" s="826" t="s">
        <v>1662</v>
      </c>
      <c r="I22" s="549">
        <v>192.5</v>
      </c>
    </row>
    <row r="23" spans="1:9" ht="15" customHeight="1">
      <c r="A23" s="534" t="s">
        <v>219</v>
      </c>
      <c r="B23" s="823">
        <v>21</v>
      </c>
      <c r="C23" s="827">
        <v>1047</v>
      </c>
      <c r="D23" s="823">
        <v>0</v>
      </c>
      <c r="E23" s="825">
        <v>0</v>
      </c>
      <c r="F23" s="823">
        <v>21</v>
      </c>
      <c r="G23" s="827">
        <v>1047</v>
      </c>
      <c r="H23" s="826" t="s">
        <v>1663</v>
      </c>
      <c r="I23" s="549">
        <v>260.52</v>
      </c>
    </row>
    <row r="24" spans="1:9" ht="15" customHeight="1">
      <c r="A24" s="534" t="s">
        <v>42</v>
      </c>
      <c r="B24" s="823">
        <v>50</v>
      </c>
      <c r="C24" s="826">
        <v>2492.5</v>
      </c>
      <c r="D24" s="823">
        <v>30</v>
      </c>
      <c r="E24" s="826">
        <v>1497.6</v>
      </c>
      <c r="F24" s="823">
        <v>80</v>
      </c>
      <c r="G24" s="826">
        <v>3990.1</v>
      </c>
      <c r="H24" s="826" t="s">
        <v>1664</v>
      </c>
      <c r="I24" s="549">
        <v>165.26</v>
      </c>
    </row>
    <row r="25" spans="1:9" ht="15" customHeight="1">
      <c r="A25" s="534" t="s">
        <v>178</v>
      </c>
      <c r="B25" s="823">
        <v>41</v>
      </c>
      <c r="C25" s="827">
        <v>2044</v>
      </c>
      <c r="D25" s="823">
        <v>0</v>
      </c>
      <c r="E25" s="825">
        <v>0</v>
      </c>
      <c r="F25" s="823">
        <v>41</v>
      </c>
      <c r="G25" s="827">
        <v>2044</v>
      </c>
      <c r="H25" s="826" t="s">
        <v>1665</v>
      </c>
      <c r="I25" s="549">
        <v>166.38</v>
      </c>
    </row>
    <row r="26" spans="1:9" ht="15" customHeight="1">
      <c r="A26" s="534" t="s">
        <v>43</v>
      </c>
      <c r="B26" s="823">
        <v>926</v>
      </c>
      <c r="C26" s="826">
        <v>46189.5</v>
      </c>
      <c r="D26" s="823">
        <v>56</v>
      </c>
      <c r="E26" s="826">
        <v>2794.5</v>
      </c>
      <c r="F26" s="823">
        <v>982</v>
      </c>
      <c r="G26" s="827">
        <v>48984</v>
      </c>
      <c r="H26" s="826" t="s">
        <v>1666</v>
      </c>
      <c r="I26" s="549">
        <v>189.21</v>
      </c>
    </row>
    <row r="27" spans="1:9" ht="15" customHeight="1">
      <c r="A27" s="534" t="s">
        <v>45</v>
      </c>
      <c r="B27" s="823">
        <v>51</v>
      </c>
      <c r="C27" s="826">
        <v>2542.5</v>
      </c>
      <c r="D27" s="823">
        <v>50</v>
      </c>
      <c r="E27" s="826">
        <v>2495.2</v>
      </c>
      <c r="F27" s="823">
        <v>101</v>
      </c>
      <c r="G27" s="826">
        <v>5037.7</v>
      </c>
      <c r="H27" s="826" t="s">
        <v>1667</v>
      </c>
      <c r="I27" s="549">
        <v>155.46</v>
      </c>
    </row>
    <row r="28" spans="1:9" ht="15" customHeight="1">
      <c r="A28" s="534" t="s">
        <v>183</v>
      </c>
      <c r="B28" s="823">
        <v>91</v>
      </c>
      <c r="C28" s="826">
        <v>4536.5</v>
      </c>
      <c r="D28" s="823">
        <v>0</v>
      </c>
      <c r="E28" s="825">
        <v>0</v>
      </c>
      <c r="F28" s="823">
        <v>91</v>
      </c>
      <c r="G28" s="826">
        <v>4536.5</v>
      </c>
      <c r="H28" s="826">
        <v>828896</v>
      </c>
      <c r="I28" s="549">
        <v>182.71707263308718</v>
      </c>
    </row>
    <row r="29" spans="1:9" ht="15" customHeight="1">
      <c r="A29" s="534" t="s">
        <v>55</v>
      </c>
      <c r="B29" s="828"/>
      <c r="C29" s="825">
        <v>0</v>
      </c>
      <c r="D29" s="823">
        <v>10</v>
      </c>
      <c r="E29" s="824">
        <v>499.2</v>
      </c>
      <c r="F29" s="823">
        <v>10</v>
      </c>
      <c r="G29" s="824">
        <v>499.2</v>
      </c>
      <c r="H29" s="826">
        <v>70387.2</v>
      </c>
      <c r="I29" s="549">
        <v>141</v>
      </c>
    </row>
    <row r="30" spans="1:9" ht="15" customHeight="1">
      <c r="A30" s="534" t="s">
        <v>186</v>
      </c>
      <c r="B30" s="823">
        <v>20</v>
      </c>
      <c r="C30" s="825">
        <v>997</v>
      </c>
      <c r="D30" s="823">
        <v>19</v>
      </c>
      <c r="E30" s="825">
        <v>907.2</v>
      </c>
      <c r="F30" s="823">
        <v>39</v>
      </c>
      <c r="G30" s="825">
        <v>1904.2</v>
      </c>
      <c r="H30" s="826">
        <v>332118</v>
      </c>
      <c r="I30" s="549">
        <v>174.4134019535763</v>
      </c>
    </row>
    <row r="31" spans="1:9" ht="15" customHeight="1">
      <c r="A31" s="534" t="s">
        <v>400</v>
      </c>
      <c r="B31" s="828"/>
      <c r="C31" s="825">
        <v>0</v>
      </c>
      <c r="D31" s="823">
        <v>83</v>
      </c>
      <c r="E31" s="824">
        <v>4140.8</v>
      </c>
      <c r="F31" s="823">
        <v>83</v>
      </c>
      <c r="G31" s="824">
        <v>4140.8</v>
      </c>
      <c r="H31" s="826">
        <v>709467.7</v>
      </c>
      <c r="I31" s="549">
        <v>171.3359012751159</v>
      </c>
    </row>
    <row r="32" spans="1:9" ht="15" customHeight="1">
      <c r="A32" s="534" t="s">
        <v>230</v>
      </c>
      <c r="B32" s="823">
        <v>20</v>
      </c>
      <c r="C32" s="825">
        <v>997</v>
      </c>
      <c r="D32" s="823">
        <v>0</v>
      </c>
      <c r="E32" s="825">
        <v>0</v>
      </c>
      <c r="F32" s="823">
        <v>20</v>
      </c>
      <c r="G32" s="825">
        <v>997</v>
      </c>
      <c r="H32" s="826" t="s">
        <v>1668</v>
      </c>
      <c r="I32" s="549">
        <v>149.5</v>
      </c>
    </row>
    <row r="33" spans="1:9" ht="15" customHeight="1">
      <c r="A33" s="534" t="s">
        <v>46</v>
      </c>
      <c r="B33" s="823">
        <v>185</v>
      </c>
      <c r="C33" s="827">
        <v>9220</v>
      </c>
      <c r="D33" s="823">
        <v>70</v>
      </c>
      <c r="E33" s="826">
        <v>3489.6</v>
      </c>
      <c r="F33" s="823">
        <v>255</v>
      </c>
      <c r="G33" s="826">
        <v>12709.6</v>
      </c>
      <c r="H33" s="826" t="s">
        <v>1669</v>
      </c>
      <c r="I33" s="549">
        <v>186.87</v>
      </c>
    </row>
    <row r="34" spans="1:9" ht="15" customHeight="1">
      <c r="A34" s="534" t="s">
        <v>47</v>
      </c>
      <c r="B34" s="823">
        <v>10</v>
      </c>
      <c r="C34" s="824">
        <v>498.5</v>
      </c>
      <c r="D34" s="823">
        <v>0</v>
      </c>
      <c r="E34" s="825">
        <v>0</v>
      </c>
      <c r="F34" s="823">
        <v>10</v>
      </c>
      <c r="G34" s="824">
        <v>498.5</v>
      </c>
      <c r="H34" s="826">
        <v>80258.5</v>
      </c>
      <c r="I34" s="549">
        <v>161</v>
      </c>
    </row>
    <row r="35" spans="1:9" ht="15" customHeight="1">
      <c r="A35" s="534" t="s">
        <v>194</v>
      </c>
      <c r="B35" s="828"/>
      <c r="C35" s="825">
        <v>0</v>
      </c>
      <c r="D35" s="823">
        <v>70</v>
      </c>
      <c r="E35" s="826">
        <v>3493.6</v>
      </c>
      <c r="F35" s="823">
        <v>70</v>
      </c>
      <c r="G35" s="826">
        <v>3493.6</v>
      </c>
      <c r="H35" s="826" t="s">
        <v>1670</v>
      </c>
      <c r="I35" s="549">
        <v>158.43</v>
      </c>
    </row>
    <row r="36" spans="1:9" ht="15" customHeight="1">
      <c r="A36" s="534" t="s">
        <v>51</v>
      </c>
      <c r="B36" s="828">
        <v>110</v>
      </c>
      <c r="C36" s="825">
        <v>5485</v>
      </c>
      <c r="D36" s="823">
        <v>115</v>
      </c>
      <c r="E36" s="826">
        <v>5739.6</v>
      </c>
      <c r="F36" s="823">
        <v>225</v>
      </c>
      <c r="G36" s="826">
        <v>11224.6</v>
      </c>
      <c r="H36" s="826">
        <v>1699102</v>
      </c>
      <c r="I36" s="549">
        <v>151.37305560999945</v>
      </c>
    </row>
    <row r="37" spans="1:9" ht="15" customHeight="1">
      <c r="A37" s="534" t="s">
        <v>53</v>
      </c>
      <c r="B37" s="823">
        <v>103</v>
      </c>
      <c r="C37" s="827">
        <v>5136.5</v>
      </c>
      <c r="D37" s="823">
        <v>0</v>
      </c>
      <c r="E37" s="825">
        <v>0</v>
      </c>
      <c r="F37" s="823">
        <v>103</v>
      </c>
      <c r="G37" s="827">
        <v>5136.5</v>
      </c>
      <c r="H37" s="826">
        <v>1023158</v>
      </c>
      <c r="I37" s="549">
        <v>199.19361432882312</v>
      </c>
    </row>
    <row r="38" spans="1:9" ht="15" customHeight="1">
      <c r="A38" s="534" t="s">
        <v>54</v>
      </c>
      <c r="B38" s="823">
        <v>35</v>
      </c>
      <c r="C38" s="826">
        <v>1744</v>
      </c>
      <c r="D38" s="823">
        <v>30</v>
      </c>
      <c r="E38" s="825">
        <v>1495.2</v>
      </c>
      <c r="F38" s="823">
        <v>65</v>
      </c>
      <c r="G38" s="826">
        <v>3239.2</v>
      </c>
      <c r="H38" s="826">
        <v>568550.2</v>
      </c>
      <c r="I38" s="549">
        <v>175.52179550506298</v>
      </c>
    </row>
    <row r="39" spans="1:9" ht="15" customHeight="1">
      <c r="A39" s="534" t="s">
        <v>71</v>
      </c>
      <c r="B39" s="823">
        <v>121</v>
      </c>
      <c r="C39" s="827">
        <v>6035</v>
      </c>
      <c r="D39" s="823">
        <v>52</v>
      </c>
      <c r="E39" s="826">
        <v>2596.3</v>
      </c>
      <c r="F39" s="823">
        <v>173</v>
      </c>
      <c r="G39" s="826">
        <v>8631.3</v>
      </c>
      <c r="H39" s="826" t="s">
        <v>1671</v>
      </c>
      <c r="I39" s="549">
        <v>146.02</v>
      </c>
    </row>
    <row r="40" spans="1:9" ht="15" customHeight="1">
      <c r="A40" s="534" t="s">
        <v>243</v>
      </c>
      <c r="B40" s="823">
        <v>30</v>
      </c>
      <c r="C40" s="827">
        <v>1497</v>
      </c>
      <c r="D40" s="823">
        <v>10</v>
      </c>
      <c r="E40" s="824">
        <v>498.4</v>
      </c>
      <c r="F40" s="823">
        <v>40</v>
      </c>
      <c r="G40" s="826">
        <v>1995.4</v>
      </c>
      <c r="H40" s="826" t="s">
        <v>1672</v>
      </c>
      <c r="I40" s="549">
        <v>206.18</v>
      </c>
    </row>
    <row r="41" spans="1:9" ht="15" customHeight="1">
      <c r="A41" s="534" t="s">
        <v>994</v>
      </c>
      <c r="B41" s="828"/>
      <c r="C41" s="825">
        <v>0</v>
      </c>
      <c r="D41" s="823">
        <v>50</v>
      </c>
      <c r="E41" s="827">
        <v>2496</v>
      </c>
      <c r="F41" s="823">
        <v>50</v>
      </c>
      <c r="G41" s="827">
        <v>2496</v>
      </c>
      <c r="H41" s="826" t="s">
        <v>1673</v>
      </c>
      <c r="I41" s="549">
        <v>146.2</v>
      </c>
    </row>
    <row r="42" spans="1:9" ht="15" customHeight="1">
      <c r="A42" s="534" t="s">
        <v>746</v>
      </c>
      <c r="B42" s="823">
        <v>20</v>
      </c>
      <c r="C42" s="825">
        <v>997</v>
      </c>
      <c r="D42" s="823">
        <v>0</v>
      </c>
      <c r="E42" s="825">
        <v>0</v>
      </c>
      <c r="F42" s="823">
        <v>20</v>
      </c>
      <c r="G42" s="825">
        <v>997</v>
      </c>
      <c r="H42" s="826" t="s">
        <v>1674</v>
      </c>
      <c r="I42" s="549">
        <v>312</v>
      </c>
    </row>
    <row r="43" spans="1:9" ht="15" customHeight="1">
      <c r="A43" s="534" t="s">
        <v>379</v>
      </c>
      <c r="B43" s="823">
        <v>240</v>
      </c>
      <c r="C43" s="826">
        <v>11968.5</v>
      </c>
      <c r="D43" s="823">
        <v>0</v>
      </c>
      <c r="E43" s="825">
        <v>0</v>
      </c>
      <c r="F43" s="823">
        <v>240</v>
      </c>
      <c r="G43" s="826">
        <v>11968.5</v>
      </c>
      <c r="H43" s="826" t="s">
        <v>1675</v>
      </c>
      <c r="I43" s="549">
        <v>227.25</v>
      </c>
    </row>
    <row r="44" spans="1:9" ht="15" customHeight="1">
      <c r="A44" s="534" t="s">
        <v>57</v>
      </c>
      <c r="B44" s="823">
        <v>30</v>
      </c>
      <c r="C44" s="826">
        <v>1495.5</v>
      </c>
      <c r="D44" s="823">
        <v>0</v>
      </c>
      <c r="E44" s="825">
        <v>0</v>
      </c>
      <c r="F44" s="823">
        <v>30</v>
      </c>
      <c r="G44" s="826">
        <v>1495.5</v>
      </c>
      <c r="H44" s="826" t="s">
        <v>436</v>
      </c>
      <c r="I44" s="549">
        <v>126</v>
      </c>
    </row>
    <row r="45" spans="1:9" ht="15" customHeight="1">
      <c r="A45" s="534" t="s">
        <v>19</v>
      </c>
      <c r="B45" s="829">
        <v>2911</v>
      </c>
      <c r="C45" s="824" t="s">
        <v>1676</v>
      </c>
      <c r="D45" s="823">
        <v>765</v>
      </c>
      <c r="E45" s="827">
        <v>38131</v>
      </c>
      <c r="F45" s="829">
        <v>3676</v>
      </c>
      <c r="G45" s="824" t="s">
        <v>1677</v>
      </c>
      <c r="H45" s="826" t="s">
        <v>1678</v>
      </c>
      <c r="I45" s="549">
        <v>184.02</v>
      </c>
    </row>
    <row r="46" spans="1:9" ht="15" customHeight="1">
      <c r="A46" s="830"/>
      <c r="B46" s="831"/>
      <c r="C46" s="832"/>
      <c r="D46" s="831"/>
      <c r="E46" s="833"/>
      <c r="F46" s="831"/>
      <c r="G46" s="832"/>
      <c r="H46" s="834"/>
      <c r="I46" s="835"/>
    </row>
    <row r="47" spans="1:9" ht="15" customHeight="1">
      <c r="A47" s="836" t="s">
        <v>62</v>
      </c>
      <c r="C47" s="837"/>
      <c r="D47" s="838"/>
      <c r="E47" s="837"/>
      <c r="F47" s="838"/>
      <c r="G47" s="837"/>
      <c r="H47" s="839"/>
      <c r="I47" s="839"/>
    </row>
    <row r="48" spans="1:9" ht="15" customHeight="1">
      <c r="A48" s="836" t="s">
        <v>63</v>
      </c>
      <c r="C48" s="837"/>
      <c r="D48" s="838"/>
      <c r="E48" s="837"/>
      <c r="F48" s="838"/>
      <c r="G48" s="840" t="s">
        <v>64</v>
      </c>
      <c r="H48" s="841"/>
      <c r="I48" s="842"/>
    </row>
    <row r="49" spans="1:9" ht="15" customHeight="1">
      <c r="A49" s="836" t="s">
        <v>157</v>
      </c>
      <c r="C49" s="837"/>
      <c r="D49" s="838"/>
      <c r="E49" s="837"/>
      <c r="F49" s="838"/>
      <c r="G49" s="837"/>
      <c r="H49" s="841" t="s">
        <v>66</v>
      </c>
      <c r="I49" s="843"/>
    </row>
    <row r="50" spans="1:9" ht="15" customHeight="1">
      <c r="A50" s="836" t="s">
        <v>158</v>
      </c>
      <c r="C50" s="837"/>
      <c r="D50" s="838"/>
      <c r="E50" s="837"/>
      <c r="F50" s="838"/>
      <c r="G50" s="844"/>
      <c r="H50" s="841"/>
      <c r="I50" s="843"/>
    </row>
    <row r="51" spans="1:9" ht="15" customHeight="1">
      <c r="A51" s="836" t="s">
        <v>159</v>
      </c>
      <c r="C51" s="837"/>
      <c r="D51" s="838"/>
      <c r="E51" s="837"/>
      <c r="F51" s="838"/>
      <c r="G51" s="844"/>
      <c r="H51" s="841"/>
      <c r="I51" s="843"/>
    </row>
    <row r="52" spans="1:9" ht="1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1648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1649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1650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1651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5" customHeight="1">
      <c r="A15" s="135" t="s">
        <v>347</v>
      </c>
      <c r="B15" s="440">
        <v>64</v>
      </c>
      <c r="C15" s="407">
        <v>3192.5</v>
      </c>
      <c r="D15" s="818">
        <v>0</v>
      </c>
      <c r="E15" s="442">
        <v>0</v>
      </c>
      <c r="F15" s="818">
        <v>64</v>
      </c>
      <c r="G15" s="442">
        <v>3192.5</v>
      </c>
      <c r="H15" s="820">
        <v>829695.5</v>
      </c>
      <c r="I15" s="392">
        <v>259.8889584964761</v>
      </c>
    </row>
    <row r="16" spans="1:9" ht="15" customHeight="1">
      <c r="A16" s="135" t="s">
        <v>36</v>
      </c>
      <c r="B16" s="440">
        <v>114</v>
      </c>
      <c r="C16" s="407">
        <v>5674.5</v>
      </c>
      <c r="D16" s="818">
        <v>2</v>
      </c>
      <c r="E16" s="442">
        <v>99.5</v>
      </c>
      <c r="F16" s="818">
        <v>116</v>
      </c>
      <c r="G16" s="407">
        <v>5774</v>
      </c>
      <c r="H16" s="369">
        <v>1279546.5</v>
      </c>
      <c r="I16" s="392">
        <v>221.60486664357464</v>
      </c>
    </row>
    <row r="17" spans="1:9" ht="15" customHeight="1">
      <c r="A17" s="135" t="s">
        <v>490</v>
      </c>
      <c r="B17" s="440">
        <v>32</v>
      </c>
      <c r="C17" s="407">
        <v>1595.5</v>
      </c>
      <c r="D17" s="818">
        <v>10</v>
      </c>
      <c r="E17" s="442">
        <v>499.2</v>
      </c>
      <c r="F17" s="818">
        <v>42</v>
      </c>
      <c r="G17" s="407">
        <v>2094.7</v>
      </c>
      <c r="H17" s="369">
        <v>474942.7</v>
      </c>
      <c r="I17" s="392">
        <v>226.73542750751898</v>
      </c>
    </row>
    <row r="18" spans="1:9" ht="15" customHeight="1">
      <c r="A18" s="135" t="s">
        <v>213</v>
      </c>
      <c r="B18" s="440">
        <v>235</v>
      </c>
      <c r="C18" s="407">
        <v>11713</v>
      </c>
      <c r="D18" s="818">
        <v>0</v>
      </c>
      <c r="E18" s="442">
        <v>0</v>
      </c>
      <c r="F18" s="818">
        <v>235</v>
      </c>
      <c r="G18" s="407">
        <v>11713</v>
      </c>
      <c r="H18" s="369">
        <v>1943299</v>
      </c>
      <c r="I18" s="392">
        <v>165.90958763766756</v>
      </c>
    </row>
    <row r="19" spans="1:9" ht="15" customHeight="1">
      <c r="A19" s="135" t="s">
        <v>586</v>
      </c>
      <c r="B19" s="440">
        <v>0</v>
      </c>
      <c r="C19" s="407">
        <v>0</v>
      </c>
      <c r="D19" s="818">
        <v>10</v>
      </c>
      <c r="E19" s="442">
        <v>499.2</v>
      </c>
      <c r="F19" s="818">
        <v>10</v>
      </c>
      <c r="G19" s="407">
        <v>499.2</v>
      </c>
      <c r="H19" s="369">
        <v>85363.2</v>
      </c>
      <c r="I19" s="392">
        <v>171</v>
      </c>
    </row>
    <row r="20" spans="1:9" ht="15" customHeight="1">
      <c r="A20" s="135" t="s">
        <v>38</v>
      </c>
      <c r="B20" s="440">
        <v>10</v>
      </c>
      <c r="C20" s="407">
        <v>498.5</v>
      </c>
      <c r="D20" s="818">
        <v>0</v>
      </c>
      <c r="E20" s="442">
        <v>0</v>
      </c>
      <c r="F20" s="818">
        <v>10</v>
      </c>
      <c r="G20" s="407">
        <v>498.5</v>
      </c>
      <c r="H20" s="369">
        <v>127117.5</v>
      </c>
      <c r="I20" s="392">
        <v>255</v>
      </c>
    </row>
    <row r="21" spans="1:9" ht="15" customHeight="1">
      <c r="A21" s="135" t="s">
        <v>219</v>
      </c>
      <c r="B21" s="440">
        <v>31</v>
      </c>
      <c r="C21" s="407">
        <v>1544</v>
      </c>
      <c r="D21" s="818">
        <v>0</v>
      </c>
      <c r="E21" s="442">
        <v>0</v>
      </c>
      <c r="F21" s="818">
        <v>31</v>
      </c>
      <c r="G21" s="407">
        <v>1544</v>
      </c>
      <c r="H21" s="369">
        <v>368947.5</v>
      </c>
      <c r="I21" s="392">
        <v>238.9556347150259</v>
      </c>
    </row>
    <row r="22" spans="1:9" ht="15" customHeight="1">
      <c r="A22" s="135" t="s">
        <v>41</v>
      </c>
      <c r="B22" s="440">
        <v>10</v>
      </c>
      <c r="C22" s="407">
        <v>498.5</v>
      </c>
      <c r="D22" s="818">
        <v>0</v>
      </c>
      <c r="E22" s="442">
        <v>0</v>
      </c>
      <c r="F22" s="818">
        <v>10</v>
      </c>
      <c r="G22" s="407">
        <v>498.5</v>
      </c>
      <c r="H22" s="369">
        <v>82252.5</v>
      </c>
      <c r="I22" s="392">
        <v>165</v>
      </c>
    </row>
    <row r="23" spans="1:9" ht="15" customHeight="1">
      <c r="A23" s="135" t="s">
        <v>42</v>
      </c>
      <c r="B23" s="440">
        <v>10</v>
      </c>
      <c r="C23" s="407">
        <v>500</v>
      </c>
      <c r="D23" s="818">
        <v>70</v>
      </c>
      <c r="E23" s="442">
        <v>3494.4</v>
      </c>
      <c r="F23" s="818">
        <v>80</v>
      </c>
      <c r="G23" s="407">
        <v>3994.4</v>
      </c>
      <c r="H23" s="369">
        <v>778897.6</v>
      </c>
      <c r="I23" s="392">
        <v>194.99739635489686</v>
      </c>
    </row>
    <row r="24" spans="1:9" ht="15" customHeight="1">
      <c r="A24" s="135" t="s">
        <v>43</v>
      </c>
      <c r="B24" s="440">
        <v>730</v>
      </c>
      <c r="C24" s="407">
        <v>36390.5</v>
      </c>
      <c r="D24" s="818">
        <v>107</v>
      </c>
      <c r="E24" s="442">
        <v>5341.5</v>
      </c>
      <c r="F24" s="818">
        <v>837</v>
      </c>
      <c r="G24" s="407">
        <v>41732</v>
      </c>
      <c r="H24" s="369">
        <v>7812149.5</v>
      </c>
      <c r="I24" s="392">
        <v>187.1980614396626</v>
      </c>
    </row>
    <row r="25" spans="1:9" ht="15" customHeight="1">
      <c r="A25" s="135" t="s">
        <v>1645</v>
      </c>
      <c r="B25" s="440">
        <v>40</v>
      </c>
      <c r="C25" s="407">
        <v>1994</v>
      </c>
      <c r="D25" s="818">
        <v>0</v>
      </c>
      <c r="E25" s="442">
        <v>0</v>
      </c>
      <c r="F25" s="818">
        <v>40</v>
      </c>
      <c r="G25" s="407">
        <v>1994</v>
      </c>
      <c r="H25" s="369">
        <v>317544.5</v>
      </c>
      <c r="I25" s="392">
        <v>159.25</v>
      </c>
    </row>
    <row r="26" spans="1:9" ht="15" customHeight="1">
      <c r="A26" s="135" t="s">
        <v>687</v>
      </c>
      <c r="B26" s="440">
        <v>30</v>
      </c>
      <c r="C26" s="407">
        <v>1497</v>
      </c>
      <c r="D26" s="818">
        <v>0</v>
      </c>
      <c r="E26" s="442">
        <v>0</v>
      </c>
      <c r="F26" s="818">
        <v>30</v>
      </c>
      <c r="G26" s="407">
        <v>1497</v>
      </c>
      <c r="H26" s="369">
        <v>224520</v>
      </c>
      <c r="I26" s="392">
        <v>149.97995991983967</v>
      </c>
    </row>
    <row r="27" spans="1:9" ht="15" customHeight="1">
      <c r="A27" s="135" t="s">
        <v>183</v>
      </c>
      <c r="B27" s="440">
        <v>110</v>
      </c>
      <c r="C27" s="407">
        <v>5479</v>
      </c>
      <c r="D27" s="818">
        <v>0</v>
      </c>
      <c r="E27" s="442">
        <v>0</v>
      </c>
      <c r="F27" s="818">
        <v>110</v>
      </c>
      <c r="G27" s="407">
        <v>5479</v>
      </c>
      <c r="H27" s="369">
        <v>756003</v>
      </c>
      <c r="I27" s="392">
        <v>137.98193100930825</v>
      </c>
    </row>
    <row r="28" spans="1:9" ht="15" customHeight="1">
      <c r="A28" s="135" t="s">
        <v>55</v>
      </c>
      <c r="B28" s="440">
        <v>0</v>
      </c>
      <c r="C28" s="407">
        <v>0</v>
      </c>
      <c r="D28" s="818">
        <f>120+10</f>
        <v>130</v>
      </c>
      <c r="E28" s="442">
        <f>5990.4+499.2</f>
        <v>6489.599999999999</v>
      </c>
      <c r="F28" s="818">
        <f>120+10</f>
        <v>130</v>
      </c>
      <c r="G28" s="407">
        <f>5990.4+499.2</f>
        <v>6489.599999999999</v>
      </c>
      <c r="H28" s="369">
        <f>886579.2+72384</f>
        <v>958963.2</v>
      </c>
      <c r="I28" s="392">
        <f>H28/G28</f>
        <v>147.76923076923077</v>
      </c>
    </row>
    <row r="29" spans="1:9" ht="15" customHeight="1">
      <c r="A29" s="135" t="s">
        <v>186</v>
      </c>
      <c r="B29" s="440">
        <f>30+20</f>
        <v>50</v>
      </c>
      <c r="C29" s="407">
        <f>1497+996.5</f>
        <v>2493.5</v>
      </c>
      <c r="D29" s="818">
        <v>3</v>
      </c>
      <c r="E29" s="442">
        <v>149.5</v>
      </c>
      <c r="F29" s="818">
        <f>30+23</f>
        <v>53</v>
      </c>
      <c r="G29" s="407">
        <f>1497+1146</f>
        <v>2643</v>
      </c>
      <c r="H29" s="369">
        <f>196105.5+257816</f>
        <v>453921.5</v>
      </c>
      <c r="I29" s="392">
        <f>H29/G29</f>
        <v>171.74479757850926</v>
      </c>
    </row>
    <row r="30" spans="1:9" ht="15" customHeight="1">
      <c r="A30" s="135" t="s">
        <v>400</v>
      </c>
      <c r="B30" s="440">
        <v>0</v>
      </c>
      <c r="C30" s="407">
        <v>0</v>
      </c>
      <c r="D30" s="818">
        <f>27+109</f>
        <v>136</v>
      </c>
      <c r="E30" s="442">
        <f>1345.6+5439.3</f>
        <v>6784.9</v>
      </c>
      <c r="F30" s="818">
        <f>27+109</f>
        <v>136</v>
      </c>
      <c r="G30" s="407">
        <f>1345.6+5439.3</f>
        <v>6784.9</v>
      </c>
      <c r="H30" s="369">
        <f>283482.8+1033818.4</f>
        <v>1317301.2</v>
      </c>
      <c r="I30" s="392">
        <f>H30/G30</f>
        <v>194.15189612227152</v>
      </c>
    </row>
    <row r="31" spans="1:9" ht="15" customHeight="1">
      <c r="A31" s="135" t="s">
        <v>69</v>
      </c>
      <c r="B31" s="440">
        <v>10</v>
      </c>
      <c r="C31" s="407">
        <v>498.5</v>
      </c>
      <c r="D31" s="818">
        <v>0</v>
      </c>
      <c r="E31" s="442">
        <v>0</v>
      </c>
      <c r="F31" s="818">
        <v>10</v>
      </c>
      <c r="G31" s="407">
        <v>498.5</v>
      </c>
      <c r="H31" s="369">
        <v>122631</v>
      </c>
      <c r="I31" s="392">
        <v>246</v>
      </c>
    </row>
    <row r="32" spans="1:9" ht="15" customHeight="1">
      <c r="A32" s="135" t="s">
        <v>46</v>
      </c>
      <c r="B32" s="440">
        <v>211</v>
      </c>
      <c r="C32" s="407">
        <v>10518.5</v>
      </c>
      <c r="D32" s="818">
        <v>60</v>
      </c>
      <c r="E32" s="442">
        <v>2989.9</v>
      </c>
      <c r="F32" s="818">
        <v>271</v>
      </c>
      <c r="G32" s="407">
        <v>13508.4</v>
      </c>
      <c r="H32" s="369">
        <v>2397160.1</v>
      </c>
      <c r="I32" s="392">
        <v>177.45699712771312</v>
      </c>
    </row>
    <row r="33" spans="1:9" ht="15" customHeight="1">
      <c r="A33" s="135" t="s">
        <v>47</v>
      </c>
      <c r="B33" s="440">
        <v>100</v>
      </c>
      <c r="C33" s="407">
        <v>4985</v>
      </c>
      <c r="D33" s="818">
        <v>0</v>
      </c>
      <c r="E33" s="442">
        <v>0</v>
      </c>
      <c r="F33" s="818">
        <v>100</v>
      </c>
      <c r="G33" s="407">
        <v>4985</v>
      </c>
      <c r="H33" s="369">
        <v>888002.5</v>
      </c>
      <c r="I33" s="392">
        <v>178.13490471414244</v>
      </c>
    </row>
    <row r="34" spans="1:9" ht="15" customHeight="1">
      <c r="A34" s="135" t="s">
        <v>112</v>
      </c>
      <c r="B34" s="440">
        <v>25</v>
      </c>
      <c r="C34" s="407">
        <v>1250</v>
      </c>
      <c r="D34" s="818">
        <v>0</v>
      </c>
      <c r="E34" s="442">
        <v>0</v>
      </c>
      <c r="F34" s="818">
        <v>25</v>
      </c>
      <c r="G34" s="407">
        <v>1250</v>
      </c>
      <c r="H34" s="369">
        <v>384150</v>
      </c>
      <c r="I34" s="392">
        <v>307.32</v>
      </c>
    </row>
    <row r="35" spans="1:9" ht="15" customHeight="1">
      <c r="A35" s="135" t="s">
        <v>50</v>
      </c>
      <c r="B35" s="440">
        <v>0</v>
      </c>
      <c r="C35" s="407">
        <v>0</v>
      </c>
      <c r="D35" s="818">
        <v>21</v>
      </c>
      <c r="E35" s="442">
        <v>1045.7</v>
      </c>
      <c r="F35" s="818">
        <v>21</v>
      </c>
      <c r="G35" s="407">
        <v>1045.7</v>
      </c>
      <c r="H35" s="369">
        <v>207909.4</v>
      </c>
      <c r="I35" s="392">
        <v>198.82318064454432</v>
      </c>
    </row>
    <row r="36" spans="1:9" ht="15" customHeight="1">
      <c r="A36" s="135" t="s">
        <v>51</v>
      </c>
      <c r="B36" s="440">
        <f>85+50</f>
        <v>135</v>
      </c>
      <c r="C36" s="407">
        <f>4242.5+2491</f>
        <v>6733.5</v>
      </c>
      <c r="D36" s="818">
        <v>40</v>
      </c>
      <c r="E36" s="442">
        <v>1996.8</v>
      </c>
      <c r="F36" s="818">
        <f>85+50+40</f>
        <v>175</v>
      </c>
      <c r="G36" s="407">
        <f>4242.5+2491+1996.8</f>
        <v>8730.3</v>
      </c>
      <c r="H36" s="369">
        <f>636056+426809.5+289536</f>
        <v>1352401.5</v>
      </c>
      <c r="I36" s="392">
        <f>H36/G36</f>
        <v>154.90893783718775</v>
      </c>
    </row>
    <row r="37" spans="1:9" ht="15" customHeight="1">
      <c r="A37" s="135" t="s">
        <v>281</v>
      </c>
      <c r="B37" s="440">
        <v>20</v>
      </c>
      <c r="C37" s="407">
        <v>997</v>
      </c>
      <c r="D37" s="818">
        <v>0</v>
      </c>
      <c r="E37" s="442">
        <v>0</v>
      </c>
      <c r="F37" s="818">
        <v>20</v>
      </c>
      <c r="G37" s="407">
        <v>997</v>
      </c>
      <c r="H37" s="369">
        <v>131105.5</v>
      </c>
      <c r="I37" s="392">
        <v>131.5</v>
      </c>
    </row>
    <row r="38" spans="1:9" ht="15" customHeight="1">
      <c r="A38" s="135" t="s">
        <v>1021</v>
      </c>
      <c r="B38" s="440">
        <v>0</v>
      </c>
      <c r="C38" s="407">
        <v>0</v>
      </c>
      <c r="D38" s="818">
        <v>23</v>
      </c>
      <c r="E38" s="442">
        <v>1147.4</v>
      </c>
      <c r="F38" s="818">
        <v>23</v>
      </c>
      <c r="G38" s="407">
        <v>1147.4</v>
      </c>
      <c r="H38" s="369">
        <v>178769.4</v>
      </c>
      <c r="I38" s="392">
        <v>155.80390447969322</v>
      </c>
    </row>
    <row r="39" spans="1:9" ht="15" customHeight="1">
      <c r="A39" s="135" t="s">
        <v>411</v>
      </c>
      <c r="B39" s="440">
        <v>10</v>
      </c>
      <c r="C39" s="407">
        <v>500</v>
      </c>
      <c r="D39" s="818">
        <v>0</v>
      </c>
      <c r="E39" s="442">
        <v>0</v>
      </c>
      <c r="F39" s="818">
        <v>10</v>
      </c>
      <c r="G39" s="407">
        <v>500</v>
      </c>
      <c r="H39" s="369">
        <v>133500</v>
      </c>
      <c r="I39" s="392">
        <v>267</v>
      </c>
    </row>
    <row r="40" spans="1:9" ht="15" customHeight="1">
      <c r="A40" s="135" t="s">
        <v>707</v>
      </c>
      <c r="B40" s="440">
        <v>20</v>
      </c>
      <c r="C40" s="407">
        <v>997</v>
      </c>
      <c r="D40" s="818">
        <v>0</v>
      </c>
      <c r="E40" s="442">
        <v>0</v>
      </c>
      <c r="F40" s="818">
        <v>20</v>
      </c>
      <c r="G40" s="407">
        <v>997</v>
      </c>
      <c r="H40" s="369">
        <v>139580</v>
      </c>
      <c r="I40" s="392">
        <v>140</v>
      </c>
    </row>
    <row r="41" spans="1:9" ht="15" customHeight="1">
      <c r="A41" s="135" t="s">
        <v>53</v>
      </c>
      <c r="B41" s="440">
        <v>20</v>
      </c>
      <c r="C41" s="407">
        <v>995.5</v>
      </c>
      <c r="D41" s="818">
        <v>0</v>
      </c>
      <c r="E41" s="442">
        <v>0</v>
      </c>
      <c r="F41" s="818">
        <v>20</v>
      </c>
      <c r="G41" s="407">
        <v>995.5</v>
      </c>
      <c r="H41" s="369">
        <v>129419.5</v>
      </c>
      <c r="I41" s="392">
        <v>130.0045203415369</v>
      </c>
    </row>
    <row r="42" spans="1:9" ht="15" customHeight="1">
      <c r="A42" s="135" t="s">
        <v>201</v>
      </c>
      <c r="B42" s="440">
        <v>0</v>
      </c>
      <c r="C42" s="407">
        <v>0</v>
      </c>
      <c r="D42" s="818">
        <v>30</v>
      </c>
      <c r="E42" s="442">
        <v>1497.6</v>
      </c>
      <c r="F42" s="818">
        <v>30</v>
      </c>
      <c r="G42" s="407">
        <v>1497.6</v>
      </c>
      <c r="H42" s="369">
        <v>297024</v>
      </c>
      <c r="I42" s="392">
        <v>198.33333333333334</v>
      </c>
    </row>
    <row r="43" spans="1:9" ht="15" customHeight="1">
      <c r="A43" s="135" t="s">
        <v>54</v>
      </c>
      <c r="B43" s="440">
        <v>11</v>
      </c>
      <c r="C43" s="407">
        <v>548.5</v>
      </c>
      <c r="D43" s="818">
        <v>40</v>
      </c>
      <c r="E43" s="442">
        <v>1994.2</v>
      </c>
      <c r="F43" s="818">
        <v>51</v>
      </c>
      <c r="G43" s="407">
        <v>2542.7</v>
      </c>
      <c r="H43" s="369">
        <v>546273.5</v>
      </c>
      <c r="I43" s="392">
        <v>214.8399339285012</v>
      </c>
    </row>
    <row r="44" spans="1:9" ht="15" customHeight="1">
      <c r="A44" s="135" t="s">
        <v>1309</v>
      </c>
      <c r="B44" s="440">
        <v>50</v>
      </c>
      <c r="C44" s="407">
        <v>2492.5</v>
      </c>
      <c r="D44" s="818">
        <v>0</v>
      </c>
      <c r="E44" s="442">
        <v>0</v>
      </c>
      <c r="F44" s="818">
        <v>50</v>
      </c>
      <c r="G44" s="407">
        <v>2492.5</v>
      </c>
      <c r="H44" s="369">
        <v>402289.5</v>
      </c>
      <c r="I44" s="392">
        <v>161.4</v>
      </c>
    </row>
    <row r="45" spans="1:9" ht="15" customHeight="1">
      <c r="A45" s="135" t="s">
        <v>71</v>
      </c>
      <c r="B45" s="440">
        <v>20</v>
      </c>
      <c r="C45" s="407">
        <v>997</v>
      </c>
      <c r="D45" s="818">
        <v>30</v>
      </c>
      <c r="E45" s="442">
        <v>1497.6</v>
      </c>
      <c r="F45" s="818">
        <v>50</v>
      </c>
      <c r="G45" s="407">
        <v>2494.6</v>
      </c>
      <c r="H45" s="369">
        <v>418134.3</v>
      </c>
      <c r="I45" s="392">
        <v>167.6157700633368</v>
      </c>
    </row>
    <row r="46" spans="1:10" ht="15" customHeight="1">
      <c r="A46" s="135" t="s">
        <v>379</v>
      </c>
      <c r="B46" s="440">
        <v>210</v>
      </c>
      <c r="C46" s="407">
        <v>10471.5</v>
      </c>
      <c r="D46" s="818">
        <v>0</v>
      </c>
      <c r="E46" s="442">
        <v>0</v>
      </c>
      <c r="F46" s="818">
        <v>210</v>
      </c>
      <c r="G46" s="407">
        <v>10471.5</v>
      </c>
      <c r="H46" s="369">
        <v>2198707.5</v>
      </c>
      <c r="I46" s="392">
        <v>209.97063457957313</v>
      </c>
      <c r="J46" s="819"/>
    </row>
    <row r="47" spans="1:10" ht="15" customHeight="1">
      <c r="A47" s="135" t="s">
        <v>19</v>
      </c>
      <c r="B47" s="440">
        <f>SUM(B15:B46)</f>
        <v>2308</v>
      </c>
      <c r="C47" s="407">
        <f aca="true" t="shared" si="1" ref="C47:H47">SUM(C15:C46)</f>
        <v>115055</v>
      </c>
      <c r="D47" s="440">
        <f t="shared" si="1"/>
        <v>712</v>
      </c>
      <c r="E47" s="407">
        <f t="shared" si="1"/>
        <v>35526.99999999999</v>
      </c>
      <c r="F47" s="440">
        <f t="shared" si="1"/>
        <v>3020</v>
      </c>
      <c r="G47" s="407">
        <f t="shared" si="1"/>
        <v>150582</v>
      </c>
      <c r="H47" s="389">
        <f t="shared" si="1"/>
        <v>27737522.599999998</v>
      </c>
      <c r="I47" s="392">
        <f>H47/G47</f>
        <v>184.20211313437196</v>
      </c>
      <c r="J47" s="819"/>
    </row>
    <row r="48" spans="1:9" ht="15" customHeight="1">
      <c r="A48" s="755"/>
      <c r="B48" s="761"/>
      <c r="C48" s="765"/>
      <c r="D48" s="761"/>
      <c r="E48" s="757"/>
      <c r="F48" s="761"/>
      <c r="G48" s="765"/>
      <c r="H48" s="756"/>
      <c r="I48" s="747"/>
    </row>
    <row r="49" spans="1:9" ht="15" customHeight="1">
      <c r="A49" s="142" t="s">
        <v>62</v>
      </c>
      <c r="C49" s="399"/>
      <c r="D49" s="388"/>
      <c r="E49" s="399"/>
      <c r="F49" s="388"/>
      <c r="G49" s="399"/>
      <c r="H49" s="391"/>
      <c r="I49" s="391"/>
    </row>
    <row r="50" spans="1:9" ht="15" customHeight="1">
      <c r="A50" s="142" t="s">
        <v>63</v>
      </c>
      <c r="C50" s="399"/>
      <c r="D50" s="388"/>
      <c r="E50" s="399"/>
      <c r="F50" s="388"/>
      <c r="G50" s="406" t="s">
        <v>64</v>
      </c>
      <c r="H50" s="389"/>
      <c r="I50" s="409"/>
    </row>
    <row r="51" spans="1:9" ht="15" customHeight="1">
      <c r="A51" s="142" t="s">
        <v>157</v>
      </c>
      <c r="C51" s="399"/>
      <c r="D51" s="388"/>
      <c r="E51" s="399"/>
      <c r="F51" s="388"/>
      <c r="G51" s="399"/>
      <c r="H51" s="389" t="s">
        <v>66</v>
      </c>
      <c r="I51" s="408"/>
    </row>
    <row r="52" spans="1:9" ht="15" customHeight="1">
      <c r="A52" s="142" t="s">
        <v>158</v>
      </c>
      <c r="C52" s="399"/>
      <c r="D52" s="388"/>
      <c r="E52" s="399"/>
      <c r="F52" s="388"/>
      <c r="G52" s="405"/>
      <c r="H52" s="389"/>
      <c r="I52" s="408"/>
    </row>
    <row r="53" spans="1:9" ht="15" customHeight="1">
      <c r="A53" s="142" t="s">
        <v>159</v>
      </c>
      <c r="C53" s="399"/>
      <c r="D53" s="388"/>
      <c r="E53" s="399"/>
      <c r="F53" s="388"/>
      <c r="G53" s="405"/>
      <c r="H53" s="389"/>
      <c r="I53" s="408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1641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1642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1643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1644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10" ht="15" customHeight="1">
      <c r="A15" s="135" t="s">
        <v>347</v>
      </c>
      <c r="B15" s="440">
        <v>21</v>
      </c>
      <c r="C15" s="407">
        <v>1047.5</v>
      </c>
      <c r="D15" s="818">
        <v>0</v>
      </c>
      <c r="E15" s="442">
        <v>0</v>
      </c>
      <c r="F15" s="818">
        <f aca="true" t="shared" si="1" ref="F15:F50">B15+D15</f>
        <v>21</v>
      </c>
      <c r="G15" s="407">
        <f aca="true" t="shared" si="2" ref="G15:G50">C15+E15</f>
        <v>1047.5</v>
      </c>
      <c r="H15" s="369">
        <v>265762</v>
      </c>
      <c r="I15" s="392">
        <v>253.7107399</v>
      </c>
      <c r="J15" s="819"/>
    </row>
    <row r="16" spans="1:10" ht="15" customHeight="1">
      <c r="A16" s="135" t="s">
        <v>36</v>
      </c>
      <c r="B16" s="440">
        <v>586</v>
      </c>
      <c r="C16" s="407">
        <v>29218</v>
      </c>
      <c r="D16" s="818">
        <v>0</v>
      </c>
      <c r="E16" s="442">
        <v>0</v>
      </c>
      <c r="F16" s="818">
        <f t="shared" si="1"/>
        <v>586</v>
      </c>
      <c r="G16" s="407">
        <f t="shared" si="2"/>
        <v>29218</v>
      </c>
      <c r="H16" s="369">
        <v>6304006</v>
      </c>
      <c r="I16" s="392">
        <v>215.7576152</v>
      </c>
      <c r="J16" s="819"/>
    </row>
    <row r="17" spans="1:10" ht="15" customHeight="1">
      <c r="A17" s="135" t="s">
        <v>490</v>
      </c>
      <c r="B17" s="440">
        <v>50</v>
      </c>
      <c r="C17" s="407">
        <v>2495.5</v>
      </c>
      <c r="D17" s="818">
        <v>0</v>
      </c>
      <c r="E17" s="442">
        <v>0</v>
      </c>
      <c r="F17" s="818">
        <f t="shared" si="1"/>
        <v>50</v>
      </c>
      <c r="G17" s="407">
        <f t="shared" si="2"/>
        <v>2495.5</v>
      </c>
      <c r="H17" s="369">
        <v>470154</v>
      </c>
      <c r="I17" s="392">
        <v>188.4007213</v>
      </c>
      <c r="J17" s="819"/>
    </row>
    <row r="18" spans="1:10" ht="15" customHeight="1">
      <c r="A18" s="135" t="s">
        <v>1646</v>
      </c>
      <c r="B18" s="440">
        <v>0</v>
      </c>
      <c r="C18" s="407">
        <v>0</v>
      </c>
      <c r="D18" s="818">
        <v>10</v>
      </c>
      <c r="E18" s="442">
        <v>499.2</v>
      </c>
      <c r="F18" s="818">
        <f t="shared" si="1"/>
        <v>10</v>
      </c>
      <c r="G18" s="407">
        <f t="shared" si="2"/>
        <v>499.2</v>
      </c>
      <c r="H18" s="369">
        <v>129792</v>
      </c>
      <c r="I18" s="392">
        <v>260</v>
      </c>
      <c r="J18" s="819"/>
    </row>
    <row r="19" spans="1:10" ht="15" customHeight="1">
      <c r="A19" s="135" t="s">
        <v>213</v>
      </c>
      <c r="B19" s="440">
        <v>125</v>
      </c>
      <c r="C19" s="407">
        <v>6239.5</v>
      </c>
      <c r="D19" s="818">
        <v>0</v>
      </c>
      <c r="E19" s="442">
        <v>0</v>
      </c>
      <c r="F19" s="818">
        <f t="shared" si="1"/>
        <v>125</v>
      </c>
      <c r="G19" s="407">
        <f t="shared" si="2"/>
        <v>6239.5</v>
      </c>
      <c r="H19" s="369">
        <v>984190.5</v>
      </c>
      <c r="I19" s="392">
        <v>157.7354756</v>
      </c>
      <c r="J19" s="819"/>
    </row>
    <row r="20" spans="1:10" ht="15" customHeight="1">
      <c r="A20" s="135" t="s">
        <v>38</v>
      </c>
      <c r="B20" s="440">
        <v>20</v>
      </c>
      <c r="C20" s="407">
        <v>997</v>
      </c>
      <c r="D20" s="818">
        <v>0</v>
      </c>
      <c r="E20" s="442">
        <v>0</v>
      </c>
      <c r="F20" s="818">
        <f t="shared" si="1"/>
        <v>20</v>
      </c>
      <c r="G20" s="407">
        <f t="shared" si="2"/>
        <v>997</v>
      </c>
      <c r="H20" s="369">
        <v>132102.5</v>
      </c>
      <c r="I20" s="392">
        <v>132.5</v>
      </c>
      <c r="J20" s="819"/>
    </row>
    <row r="21" spans="1:10" ht="15" customHeight="1">
      <c r="A21" s="135" t="s">
        <v>1247</v>
      </c>
      <c r="B21" s="440">
        <v>10</v>
      </c>
      <c r="C21" s="407">
        <v>498.5</v>
      </c>
      <c r="D21" s="818">
        <v>0</v>
      </c>
      <c r="E21" s="442">
        <v>0</v>
      </c>
      <c r="F21" s="818">
        <f t="shared" si="1"/>
        <v>10</v>
      </c>
      <c r="G21" s="407">
        <f t="shared" si="2"/>
        <v>498.5</v>
      </c>
      <c r="H21" s="369">
        <v>129610</v>
      </c>
      <c r="I21" s="392">
        <v>260</v>
      </c>
      <c r="J21" s="819"/>
    </row>
    <row r="22" spans="1:10" ht="15" customHeight="1">
      <c r="A22" s="135" t="s">
        <v>170</v>
      </c>
      <c r="B22" s="440">
        <v>0</v>
      </c>
      <c r="C22" s="407">
        <v>0</v>
      </c>
      <c r="D22" s="818">
        <v>20</v>
      </c>
      <c r="E22" s="442">
        <v>998.4</v>
      </c>
      <c r="F22" s="818">
        <f t="shared" si="1"/>
        <v>20</v>
      </c>
      <c r="G22" s="407">
        <f t="shared" si="2"/>
        <v>998.4</v>
      </c>
      <c r="H22" s="369">
        <v>199180.8</v>
      </c>
      <c r="I22" s="392">
        <v>199.5</v>
      </c>
      <c r="J22" s="819"/>
    </row>
    <row r="23" spans="1:10" ht="15" customHeight="1">
      <c r="A23" s="135" t="s">
        <v>41</v>
      </c>
      <c r="B23" s="440">
        <v>20</v>
      </c>
      <c r="C23" s="407">
        <v>997</v>
      </c>
      <c r="D23" s="818">
        <v>0</v>
      </c>
      <c r="E23" s="442">
        <v>0</v>
      </c>
      <c r="F23" s="818">
        <f t="shared" si="1"/>
        <v>20</v>
      </c>
      <c r="G23" s="407">
        <f t="shared" si="2"/>
        <v>997</v>
      </c>
      <c r="H23" s="369">
        <v>204883.5</v>
      </c>
      <c r="I23" s="392">
        <v>205.5</v>
      </c>
      <c r="J23" s="819"/>
    </row>
    <row r="24" spans="1:10" ht="15" customHeight="1">
      <c r="A24" s="135" t="s">
        <v>42</v>
      </c>
      <c r="B24" s="440">
        <v>50</v>
      </c>
      <c r="C24" s="407">
        <v>2492.5</v>
      </c>
      <c r="D24" s="818">
        <v>50</v>
      </c>
      <c r="E24" s="442">
        <v>2496</v>
      </c>
      <c r="F24" s="818">
        <f t="shared" si="1"/>
        <v>100</v>
      </c>
      <c r="G24" s="407">
        <f t="shared" si="2"/>
        <v>4988.5</v>
      </c>
      <c r="H24" s="369">
        <v>1004688.8</v>
      </c>
      <c r="I24" s="392">
        <v>201.4009823</v>
      </c>
      <c r="J24" s="819"/>
    </row>
    <row r="25" spans="1:10" ht="15" customHeight="1">
      <c r="A25" s="135" t="s">
        <v>178</v>
      </c>
      <c r="B25" s="440">
        <v>95</v>
      </c>
      <c r="C25" s="407">
        <v>4738</v>
      </c>
      <c r="D25" s="818">
        <v>0</v>
      </c>
      <c r="E25" s="442">
        <v>0</v>
      </c>
      <c r="F25" s="818">
        <f t="shared" si="1"/>
        <v>95</v>
      </c>
      <c r="G25" s="407">
        <f t="shared" si="2"/>
        <v>4738</v>
      </c>
      <c r="H25" s="369">
        <v>621450.5</v>
      </c>
      <c r="I25" s="392">
        <v>131.1630435</v>
      </c>
      <c r="J25" s="819"/>
    </row>
    <row r="26" spans="1:10" ht="15" customHeight="1">
      <c r="A26" s="135" t="s">
        <v>43</v>
      </c>
      <c r="B26" s="440">
        <v>645</v>
      </c>
      <c r="C26" s="407">
        <v>32176</v>
      </c>
      <c r="D26" s="818">
        <v>280</v>
      </c>
      <c r="E26" s="442">
        <v>13979.8</v>
      </c>
      <c r="F26" s="818">
        <f t="shared" si="1"/>
        <v>925</v>
      </c>
      <c r="G26" s="407">
        <f t="shared" si="2"/>
        <v>46155.8</v>
      </c>
      <c r="H26" s="369">
        <v>9906516.1</v>
      </c>
      <c r="I26" s="392">
        <v>214.6320961</v>
      </c>
      <c r="J26" s="819"/>
    </row>
    <row r="27" spans="1:10" ht="15" customHeight="1">
      <c r="A27" s="135" t="s">
        <v>44</v>
      </c>
      <c r="B27" s="440">
        <v>10</v>
      </c>
      <c r="C27" s="407">
        <v>500</v>
      </c>
      <c r="D27" s="818">
        <v>0</v>
      </c>
      <c r="E27" s="442">
        <v>0</v>
      </c>
      <c r="F27" s="818">
        <f t="shared" si="1"/>
        <v>10</v>
      </c>
      <c r="G27" s="407">
        <f t="shared" si="2"/>
        <v>500</v>
      </c>
      <c r="H27" s="369">
        <v>71000</v>
      </c>
      <c r="I27" s="392">
        <v>142</v>
      </c>
      <c r="J27" s="819"/>
    </row>
    <row r="28" spans="1:10" ht="15" customHeight="1">
      <c r="A28" s="135" t="s">
        <v>1645</v>
      </c>
      <c r="B28" s="440">
        <v>30</v>
      </c>
      <c r="C28" s="407">
        <v>1497</v>
      </c>
      <c r="D28" s="818">
        <v>0</v>
      </c>
      <c r="E28" s="442">
        <v>0</v>
      </c>
      <c r="F28" s="818">
        <f t="shared" si="1"/>
        <v>30</v>
      </c>
      <c r="G28" s="407">
        <f t="shared" si="2"/>
        <v>1497</v>
      </c>
      <c r="H28" s="369">
        <v>206089</v>
      </c>
      <c r="I28" s="392">
        <v>137.6680027</v>
      </c>
      <c r="J28" s="819"/>
    </row>
    <row r="29" spans="1:10" ht="15" customHeight="1">
      <c r="A29" s="135" t="s">
        <v>687</v>
      </c>
      <c r="B29" s="440">
        <v>11</v>
      </c>
      <c r="C29" s="407">
        <v>548.5</v>
      </c>
      <c r="D29" s="818">
        <v>0</v>
      </c>
      <c r="E29" s="442">
        <v>0</v>
      </c>
      <c r="F29" s="818">
        <f t="shared" si="1"/>
        <v>11</v>
      </c>
      <c r="G29" s="407">
        <f t="shared" si="2"/>
        <v>548.5</v>
      </c>
      <c r="H29" s="369">
        <v>137125</v>
      </c>
      <c r="I29" s="392">
        <v>250</v>
      </c>
      <c r="J29" s="819"/>
    </row>
    <row r="30" spans="1:10" ht="15" customHeight="1">
      <c r="A30" s="135" t="s">
        <v>183</v>
      </c>
      <c r="B30" s="440">
        <v>57</v>
      </c>
      <c r="C30" s="407">
        <v>2842</v>
      </c>
      <c r="D30" s="818">
        <v>0</v>
      </c>
      <c r="E30" s="442">
        <v>0</v>
      </c>
      <c r="F30" s="818">
        <f t="shared" si="1"/>
        <v>57</v>
      </c>
      <c r="G30" s="407">
        <f t="shared" si="2"/>
        <v>2842</v>
      </c>
      <c r="H30" s="369">
        <v>654204</v>
      </c>
      <c r="I30" s="392">
        <v>230.1914145</v>
      </c>
      <c r="J30" s="819"/>
    </row>
    <row r="31" spans="1:10" ht="15" customHeight="1">
      <c r="A31" s="135" t="s">
        <v>55</v>
      </c>
      <c r="B31" s="440">
        <v>50</v>
      </c>
      <c r="C31" s="407">
        <v>2492.5</v>
      </c>
      <c r="D31" s="818">
        <v>10</v>
      </c>
      <c r="E31" s="442">
        <v>499.2</v>
      </c>
      <c r="F31" s="818">
        <f t="shared" si="1"/>
        <v>60</v>
      </c>
      <c r="G31" s="407">
        <f t="shared" si="2"/>
        <v>2991.7</v>
      </c>
      <c r="H31" s="369">
        <v>483717.4</v>
      </c>
      <c r="I31" s="392">
        <v>161.6864659</v>
      </c>
      <c r="J31" s="819"/>
    </row>
    <row r="32" spans="1:10" ht="15" customHeight="1">
      <c r="A32" s="135" t="s">
        <v>400</v>
      </c>
      <c r="B32" s="440">
        <v>0</v>
      </c>
      <c r="C32" s="407">
        <v>0</v>
      </c>
      <c r="D32" s="818">
        <f>31+60</f>
        <v>91</v>
      </c>
      <c r="E32" s="442">
        <f>1546.4+2993.4</f>
        <v>4539.8</v>
      </c>
      <c r="F32" s="818">
        <f t="shared" si="1"/>
        <v>91</v>
      </c>
      <c r="G32" s="407">
        <f t="shared" si="2"/>
        <v>4539.8</v>
      </c>
      <c r="H32" s="369">
        <f>306508.8+533022.3</f>
        <v>839531.1000000001</v>
      </c>
      <c r="I32" s="392">
        <f>H32/G32</f>
        <v>184.92689105246927</v>
      </c>
      <c r="J32" s="819"/>
    </row>
    <row r="33" spans="1:10" ht="15" customHeight="1">
      <c r="A33" s="135" t="s">
        <v>1013</v>
      </c>
      <c r="B33" s="440">
        <v>0</v>
      </c>
      <c r="C33" s="407">
        <v>0</v>
      </c>
      <c r="D33" s="818">
        <v>25</v>
      </c>
      <c r="E33" s="442">
        <v>1247.6</v>
      </c>
      <c r="F33" s="818">
        <f t="shared" si="1"/>
        <v>25</v>
      </c>
      <c r="G33" s="407">
        <f t="shared" si="2"/>
        <v>1247.6</v>
      </c>
      <c r="H33" s="369">
        <v>246772.4</v>
      </c>
      <c r="I33" s="392">
        <v>197.7976916</v>
      </c>
      <c r="J33" s="819"/>
    </row>
    <row r="34" spans="1:10" ht="15" customHeight="1">
      <c r="A34" s="135" t="s">
        <v>46</v>
      </c>
      <c r="B34" s="440">
        <v>486</v>
      </c>
      <c r="C34" s="407">
        <v>24237.5</v>
      </c>
      <c r="D34" s="818">
        <v>64</v>
      </c>
      <c r="E34" s="442">
        <v>3194.2</v>
      </c>
      <c r="F34" s="818">
        <f t="shared" si="1"/>
        <v>550</v>
      </c>
      <c r="G34" s="407">
        <f t="shared" si="2"/>
        <v>27431.7</v>
      </c>
      <c r="H34" s="369">
        <v>5501709.5</v>
      </c>
      <c r="I34" s="392">
        <v>200.5602824</v>
      </c>
      <c r="J34" s="819"/>
    </row>
    <row r="35" spans="1:10" ht="15" customHeight="1">
      <c r="A35" s="135" t="s">
        <v>47</v>
      </c>
      <c r="B35" s="440">
        <v>20</v>
      </c>
      <c r="C35" s="407">
        <v>997</v>
      </c>
      <c r="D35" s="818">
        <v>0</v>
      </c>
      <c r="E35" s="442">
        <v>0</v>
      </c>
      <c r="F35" s="818">
        <f t="shared" si="1"/>
        <v>20</v>
      </c>
      <c r="G35" s="407">
        <f t="shared" si="2"/>
        <v>997</v>
      </c>
      <c r="H35" s="369">
        <v>198403</v>
      </c>
      <c r="I35" s="392">
        <v>199</v>
      </c>
      <c r="J35" s="819"/>
    </row>
    <row r="36" spans="1:10" ht="15" customHeight="1">
      <c r="A36" s="135" t="s">
        <v>194</v>
      </c>
      <c r="B36" s="440">
        <v>0</v>
      </c>
      <c r="C36" s="407">
        <v>0</v>
      </c>
      <c r="D36" s="818">
        <v>10</v>
      </c>
      <c r="E36" s="442">
        <v>498.4</v>
      </c>
      <c r="F36" s="818">
        <f t="shared" si="1"/>
        <v>10</v>
      </c>
      <c r="G36" s="407">
        <f t="shared" si="2"/>
        <v>498.4</v>
      </c>
      <c r="H36" s="369">
        <v>82734.4</v>
      </c>
      <c r="I36" s="392">
        <v>166</v>
      </c>
      <c r="J36" s="819"/>
    </row>
    <row r="37" spans="1:10" ht="15" customHeight="1">
      <c r="A37" s="135" t="s">
        <v>70</v>
      </c>
      <c r="B37" s="440">
        <v>30</v>
      </c>
      <c r="C37" s="407">
        <v>1498.5</v>
      </c>
      <c r="D37" s="818">
        <v>0</v>
      </c>
      <c r="E37" s="442">
        <v>0</v>
      </c>
      <c r="F37" s="818">
        <f t="shared" si="1"/>
        <v>30</v>
      </c>
      <c r="G37" s="407">
        <f t="shared" si="2"/>
        <v>1498.5</v>
      </c>
      <c r="H37" s="369">
        <v>211787</v>
      </c>
      <c r="I37" s="392">
        <v>141.332666</v>
      </c>
      <c r="J37" s="819"/>
    </row>
    <row r="38" spans="1:10" ht="15" customHeight="1">
      <c r="A38" s="135" t="s">
        <v>51</v>
      </c>
      <c r="B38" s="440">
        <v>10</v>
      </c>
      <c r="C38" s="407">
        <v>498.5</v>
      </c>
      <c r="D38" s="818">
        <v>10</v>
      </c>
      <c r="E38" s="442">
        <v>498.4</v>
      </c>
      <c r="F38" s="818">
        <f t="shared" si="1"/>
        <v>20</v>
      </c>
      <c r="G38" s="407">
        <f t="shared" si="2"/>
        <v>996.9</v>
      </c>
      <c r="H38" s="369">
        <f>129610+64792</f>
        <v>194402</v>
      </c>
      <c r="I38" s="392">
        <f>H38/G38</f>
        <v>195.00652021265924</v>
      </c>
      <c r="J38" s="819"/>
    </row>
    <row r="39" spans="1:10" ht="15" customHeight="1">
      <c r="A39" s="135" t="s">
        <v>1021</v>
      </c>
      <c r="B39" s="440">
        <v>0</v>
      </c>
      <c r="C39" s="407">
        <v>0</v>
      </c>
      <c r="D39" s="818">
        <v>2</v>
      </c>
      <c r="E39" s="442">
        <v>99.5</v>
      </c>
      <c r="F39" s="818">
        <f t="shared" si="1"/>
        <v>2</v>
      </c>
      <c r="G39" s="407">
        <f t="shared" si="2"/>
        <v>99.5</v>
      </c>
      <c r="H39" s="369">
        <v>27860</v>
      </c>
      <c r="I39" s="392">
        <v>280</v>
      </c>
      <c r="J39" s="819"/>
    </row>
    <row r="40" spans="1:10" ht="15" customHeight="1">
      <c r="A40" s="135" t="s">
        <v>1647</v>
      </c>
      <c r="B40" s="440">
        <v>0</v>
      </c>
      <c r="C40" s="407">
        <v>0</v>
      </c>
      <c r="D40" s="818">
        <v>40</v>
      </c>
      <c r="E40" s="442">
        <v>1996.8</v>
      </c>
      <c r="F40" s="818">
        <f t="shared" si="1"/>
        <v>40</v>
      </c>
      <c r="G40" s="407">
        <f t="shared" si="2"/>
        <v>1996.8</v>
      </c>
      <c r="H40" s="369">
        <v>396364.8</v>
      </c>
      <c r="I40" s="392">
        <v>198.5</v>
      </c>
      <c r="J40" s="819"/>
    </row>
    <row r="41" spans="1:10" ht="15" customHeight="1">
      <c r="A41" s="135" t="s">
        <v>707</v>
      </c>
      <c r="B41" s="440">
        <v>61</v>
      </c>
      <c r="C41" s="407">
        <v>3044</v>
      </c>
      <c r="D41" s="818">
        <v>0</v>
      </c>
      <c r="E41" s="442">
        <v>0</v>
      </c>
      <c r="F41" s="818">
        <f t="shared" si="1"/>
        <v>61</v>
      </c>
      <c r="G41" s="407">
        <f t="shared" si="2"/>
        <v>3044</v>
      </c>
      <c r="H41" s="369">
        <v>479364</v>
      </c>
      <c r="I41" s="392">
        <v>157.478318</v>
      </c>
      <c r="J41" s="819"/>
    </row>
    <row r="42" spans="1:10" ht="15" customHeight="1">
      <c r="A42" s="135" t="s">
        <v>374</v>
      </c>
      <c r="B42" s="440">
        <v>50</v>
      </c>
      <c r="C42" s="407">
        <v>2489.5</v>
      </c>
      <c r="D42" s="818">
        <v>0</v>
      </c>
      <c r="E42" s="442">
        <v>0</v>
      </c>
      <c r="F42" s="818">
        <f t="shared" si="1"/>
        <v>50</v>
      </c>
      <c r="G42" s="407">
        <f t="shared" si="2"/>
        <v>2489.5</v>
      </c>
      <c r="H42" s="369">
        <v>502167.5</v>
      </c>
      <c r="I42" s="392">
        <v>201.7141996</v>
      </c>
      <c r="J42" s="819"/>
    </row>
    <row r="43" spans="1:10" ht="15" customHeight="1">
      <c r="A43" s="751" t="s">
        <v>53</v>
      </c>
      <c r="B43" s="759">
        <f>125+31+129+10+10</f>
        <v>305</v>
      </c>
      <c r="C43" s="764">
        <f>6229+1545.5+6432+498.5+498.5</f>
        <v>15203.5</v>
      </c>
      <c r="D43" s="759">
        <v>0</v>
      </c>
      <c r="E43" s="768">
        <v>0</v>
      </c>
      <c r="F43" s="818">
        <f t="shared" si="1"/>
        <v>305</v>
      </c>
      <c r="G43" s="407">
        <f t="shared" si="2"/>
        <v>15203.5</v>
      </c>
      <c r="H43" s="753">
        <f>923917.5+273680+1594137.5+117646+129610</f>
        <v>3038991</v>
      </c>
      <c r="I43" s="754">
        <f>H43/G43</f>
        <v>199.88759167297005</v>
      </c>
      <c r="J43" s="819"/>
    </row>
    <row r="44" spans="1:10" ht="15" customHeight="1">
      <c r="A44" s="135" t="s">
        <v>201</v>
      </c>
      <c r="B44" s="440">
        <v>40</v>
      </c>
      <c r="C44" s="407">
        <v>1994</v>
      </c>
      <c r="D44" s="818">
        <v>0</v>
      </c>
      <c r="E44" s="442">
        <v>0</v>
      </c>
      <c r="F44" s="818">
        <f t="shared" si="1"/>
        <v>40</v>
      </c>
      <c r="G44" s="407">
        <f t="shared" si="2"/>
        <v>1994</v>
      </c>
      <c r="H44" s="369">
        <v>417244.5</v>
      </c>
      <c r="I44" s="392">
        <v>209.25</v>
      </c>
      <c r="J44" s="819"/>
    </row>
    <row r="45" spans="1:10" ht="15" customHeight="1">
      <c r="A45" s="135" t="s">
        <v>54</v>
      </c>
      <c r="B45" s="440">
        <v>0</v>
      </c>
      <c r="C45" s="407">
        <v>0</v>
      </c>
      <c r="D45" s="818">
        <v>120</v>
      </c>
      <c r="E45" s="442">
        <v>5990.4</v>
      </c>
      <c r="F45" s="818">
        <f t="shared" si="1"/>
        <v>120</v>
      </c>
      <c r="G45" s="407">
        <f t="shared" si="2"/>
        <v>5990.4</v>
      </c>
      <c r="H45" s="369">
        <v>1101235.2</v>
      </c>
      <c r="I45" s="392">
        <v>183.8333333</v>
      </c>
      <c r="J45" s="819"/>
    </row>
    <row r="46" spans="1:10" ht="15" customHeight="1">
      <c r="A46" s="135" t="s">
        <v>71</v>
      </c>
      <c r="B46" s="440">
        <v>30</v>
      </c>
      <c r="C46" s="407">
        <v>1494</v>
      </c>
      <c r="D46" s="818">
        <v>0</v>
      </c>
      <c r="E46" s="442">
        <v>0</v>
      </c>
      <c r="F46" s="818">
        <f t="shared" si="1"/>
        <v>30</v>
      </c>
      <c r="G46" s="407">
        <f t="shared" si="2"/>
        <v>1494</v>
      </c>
      <c r="H46" s="369">
        <v>326626</v>
      </c>
      <c r="I46" s="392">
        <v>218.6251673</v>
      </c>
      <c r="J46" s="819"/>
    </row>
    <row r="47" spans="1:10" ht="15" customHeight="1">
      <c r="A47" s="135" t="s">
        <v>243</v>
      </c>
      <c r="B47" s="440">
        <v>85</v>
      </c>
      <c r="C47" s="407">
        <v>4241</v>
      </c>
      <c r="D47" s="818">
        <v>30</v>
      </c>
      <c r="E47" s="442">
        <v>1497.6</v>
      </c>
      <c r="F47" s="818">
        <f t="shared" si="1"/>
        <v>115</v>
      </c>
      <c r="G47" s="407">
        <f t="shared" si="2"/>
        <v>5738.6</v>
      </c>
      <c r="H47" s="369">
        <v>856840.6</v>
      </c>
      <c r="I47" s="392">
        <v>149.3117834</v>
      </c>
      <c r="J47" s="819"/>
    </row>
    <row r="48" spans="1:10" ht="15" customHeight="1">
      <c r="A48" s="135" t="s">
        <v>379</v>
      </c>
      <c r="B48" s="440">
        <v>160</v>
      </c>
      <c r="C48" s="407">
        <v>7974.5</v>
      </c>
      <c r="D48" s="818">
        <v>0</v>
      </c>
      <c r="E48" s="442">
        <v>0</v>
      </c>
      <c r="F48" s="818">
        <f t="shared" si="1"/>
        <v>160</v>
      </c>
      <c r="G48" s="407">
        <f t="shared" si="2"/>
        <v>7974.5</v>
      </c>
      <c r="H48" s="369">
        <v>1699995</v>
      </c>
      <c r="I48" s="392">
        <v>213.1788827</v>
      </c>
      <c r="J48" s="819"/>
    </row>
    <row r="49" spans="1:10" ht="15" customHeight="1">
      <c r="A49" s="135" t="s">
        <v>57</v>
      </c>
      <c r="B49" s="440">
        <v>35</v>
      </c>
      <c r="C49" s="407">
        <v>1744</v>
      </c>
      <c r="D49" s="818">
        <v>0</v>
      </c>
      <c r="E49" s="442">
        <v>0</v>
      </c>
      <c r="F49" s="818">
        <f t="shared" si="1"/>
        <v>35</v>
      </c>
      <c r="G49" s="407">
        <f t="shared" si="2"/>
        <v>1744</v>
      </c>
      <c r="H49" s="369">
        <v>376419.5</v>
      </c>
      <c r="I49" s="392">
        <v>215.8368693</v>
      </c>
      <c r="J49" s="819"/>
    </row>
    <row r="50" spans="1:10" ht="15" customHeight="1">
      <c r="A50" s="135" t="s">
        <v>19</v>
      </c>
      <c r="B50" s="440">
        <v>3092</v>
      </c>
      <c r="C50" s="407">
        <v>154195.5</v>
      </c>
      <c r="D50" s="818">
        <v>762</v>
      </c>
      <c r="E50" s="442">
        <v>38035.3</v>
      </c>
      <c r="F50" s="818">
        <f t="shared" si="1"/>
        <v>3854</v>
      </c>
      <c r="G50" s="407">
        <f t="shared" si="2"/>
        <v>192230.8</v>
      </c>
      <c r="H50" s="369">
        <v>38402919.6</v>
      </c>
      <c r="I50" s="392">
        <f>H50/G50</f>
        <v>199.77505997998242</v>
      </c>
      <c r="J50" s="819"/>
    </row>
    <row r="51" spans="1:9" ht="15" customHeight="1">
      <c r="A51" s="755"/>
      <c r="B51" s="761"/>
      <c r="C51" s="765"/>
      <c r="D51" s="761"/>
      <c r="E51" s="757"/>
      <c r="F51" s="761"/>
      <c r="G51" s="765"/>
      <c r="H51" s="756"/>
      <c r="I51" s="747"/>
    </row>
    <row r="52" spans="1:9" ht="15" customHeight="1">
      <c r="A52" s="142" t="s">
        <v>62</v>
      </c>
      <c r="C52" s="399"/>
      <c r="D52" s="388"/>
      <c r="E52" s="399"/>
      <c r="F52" s="388"/>
      <c r="G52" s="399"/>
      <c r="H52" s="391"/>
      <c r="I52" s="391"/>
    </row>
    <row r="53" spans="1:9" ht="15" customHeight="1">
      <c r="A53" s="142" t="s">
        <v>63</v>
      </c>
      <c r="C53" s="399"/>
      <c r="D53" s="388"/>
      <c r="E53" s="399"/>
      <c r="F53" s="388"/>
      <c r="G53" s="406" t="s">
        <v>64</v>
      </c>
      <c r="H53" s="389"/>
      <c r="I53" s="409"/>
    </row>
    <row r="54" spans="1:9" ht="15" customHeight="1">
      <c r="A54" s="142" t="s">
        <v>157</v>
      </c>
      <c r="C54" s="399"/>
      <c r="D54" s="388"/>
      <c r="E54" s="399"/>
      <c r="F54" s="388"/>
      <c r="G54" s="399"/>
      <c r="H54" s="389" t="s">
        <v>66</v>
      </c>
      <c r="I54" s="408"/>
    </row>
    <row r="55" spans="1:9" ht="15" customHeight="1">
      <c r="A55" s="142" t="s">
        <v>158</v>
      </c>
      <c r="C55" s="399"/>
      <c r="D55" s="388"/>
      <c r="E55" s="399"/>
      <c r="F55" s="388"/>
      <c r="G55" s="405"/>
      <c r="H55" s="389"/>
      <c r="I55" s="408"/>
    </row>
    <row r="56" spans="1:9" ht="15" customHeight="1">
      <c r="A56" s="142" t="s">
        <v>159</v>
      </c>
      <c r="C56" s="399"/>
      <c r="D56" s="388"/>
      <c r="E56" s="399"/>
      <c r="F56" s="388"/>
      <c r="G56" s="405"/>
      <c r="H56" s="389"/>
      <c r="I56" s="408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C22" sqref="C22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1638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1639</v>
      </c>
      <c r="D8" s="417"/>
      <c r="E8" s="418" t="s">
        <v>1640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10215.4</v>
      </c>
      <c r="D11" s="725">
        <v>142.08004581318403</v>
      </c>
      <c r="E11" s="419">
        <v>173117</v>
      </c>
      <c r="F11" s="725">
        <v>145.05212601881962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3986.5</v>
      </c>
      <c r="D14" s="725">
        <v>204.63878088548853</v>
      </c>
      <c r="E14" s="419">
        <v>109964.79999999997</v>
      </c>
      <c r="F14" s="725">
        <v>206.35930952450244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6983.5</v>
      </c>
      <c r="D16" s="725">
        <v>142.39335576716547</v>
      </c>
      <c r="E16" s="419">
        <v>48834.4</v>
      </c>
      <c r="F16" s="725">
        <v>165.17451837229493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9984.9</v>
      </c>
      <c r="D17" s="725">
        <v>192.5998958427225</v>
      </c>
      <c r="E17" s="419">
        <v>425742.40000000014</v>
      </c>
      <c r="F17" s="725">
        <v>194.55348187072735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63289</v>
      </c>
      <c r="F18" s="725">
        <v>159.07373951239552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6481.1</v>
      </c>
      <c r="D21" s="725">
        <v>196.96150344848866</v>
      </c>
      <c r="E21" s="419">
        <v>77527.80000000002</v>
      </c>
      <c r="F21" s="725">
        <v>192.87262504546752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24331.6</v>
      </c>
      <c r="D22" s="725">
        <v>273.0876925479623</v>
      </c>
      <c r="E22" s="419">
        <v>546394.9</v>
      </c>
      <c r="F22" s="725">
        <v>292.9165779182785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7457.5</v>
      </c>
      <c r="D24" s="725">
        <v>192.78357358364062</v>
      </c>
      <c r="E24" s="419">
        <v>135472.39999999997</v>
      </c>
      <c r="F24" s="725">
        <v>196.4256128923678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12974.9</v>
      </c>
      <c r="D26" s="725">
        <v>167.42720175107326</v>
      </c>
      <c r="E26" s="419">
        <v>116014.29999999999</v>
      </c>
      <c r="F26" s="725">
        <v>184.71722192867605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3989.1</v>
      </c>
      <c r="D28" s="725">
        <v>199.2480760071194</v>
      </c>
      <c r="E28" s="419">
        <v>208917.50000000003</v>
      </c>
      <c r="F28" s="725">
        <v>213.44162791532543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10220.5</v>
      </c>
      <c r="D29" s="725">
        <v>187.51243089868402</v>
      </c>
      <c r="E29" s="419">
        <v>144213.39999999997</v>
      </c>
      <c r="F29" s="725">
        <v>197.06665608050298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7987.7</v>
      </c>
      <c r="D32" s="725">
        <v>199.43720970992902</v>
      </c>
      <c r="E32" s="419">
        <v>697219.6000000001</v>
      </c>
      <c r="F32" s="725">
        <v>195.08062682116218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406425.7</v>
      </c>
      <c r="F33" s="725">
        <v>225.63503464470875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497</v>
      </c>
      <c r="D34" s="725">
        <v>120</v>
      </c>
      <c r="E34" s="419">
        <v>126478.9</v>
      </c>
      <c r="F34" s="725">
        <v>124.63138120271444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19958.6</v>
      </c>
      <c r="D35" s="725">
        <v>145.2045634463339</v>
      </c>
      <c r="E35" s="419">
        <v>283060.9</v>
      </c>
      <c r="F35" s="725">
        <v>147.8328197218337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37888.200000000004</v>
      </c>
      <c r="F36" s="725">
        <v>237.6337170939765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2997</v>
      </c>
      <c r="D38" s="725">
        <v>142.5</v>
      </c>
      <c r="E38" s="419">
        <v>75354.59999999999</v>
      </c>
      <c r="F38" s="725">
        <v>146.752883035674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2993.1</v>
      </c>
      <c r="D39" s="725">
        <v>155.6900203802078</v>
      </c>
      <c r="E39" s="419">
        <v>132202</v>
      </c>
      <c r="F39" s="725">
        <v>135.96984236244538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35125</v>
      </c>
      <c r="F40" s="725">
        <v>176.74919288256228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3988</v>
      </c>
      <c r="D44" s="725">
        <v>131.75</v>
      </c>
      <c r="E44" s="419">
        <v>24942.399999999998</v>
      </c>
      <c r="F44" s="725">
        <v>135.0413191994355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5980.9</v>
      </c>
      <c r="D45" s="726">
        <v>183.4611178919561</v>
      </c>
      <c r="E45" s="431">
        <v>70529</v>
      </c>
      <c r="F45" s="726">
        <v>193.44737058514937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6989.9</v>
      </c>
      <c r="D46" s="725">
        <v>189.0697577933876</v>
      </c>
      <c r="E46" s="419">
        <v>746593</v>
      </c>
      <c r="F46" s="725">
        <v>193.23797396975326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142561.59999999998</v>
      </c>
      <c r="F47" s="725">
        <v>131.22464885354825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998.5</v>
      </c>
      <c r="D48" s="725">
        <v>120</v>
      </c>
      <c r="E48" s="419">
        <v>36939</v>
      </c>
      <c r="F48" s="725">
        <v>132.63611359267983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4492.5</v>
      </c>
      <c r="D49" s="725">
        <v>131.8900389538119</v>
      </c>
      <c r="E49" s="419">
        <v>147687.29999999996</v>
      </c>
      <c r="F49" s="725">
        <v>134.54006810335085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15968.7</v>
      </c>
      <c r="D50" s="725">
        <v>207.43617827374803</v>
      </c>
      <c r="E50" s="419">
        <v>858566.4999999999</v>
      </c>
      <c r="F50" s="725">
        <v>200.97549927699254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3482</v>
      </c>
      <c r="D51" s="725">
        <v>129.71970132107984</v>
      </c>
      <c r="E51" s="419">
        <v>140339.59999999998</v>
      </c>
      <c r="F51" s="725">
        <v>136.1895195653971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93742.2</v>
      </c>
      <c r="F52" s="727">
        <v>136.94069053211896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172958.9</v>
      </c>
      <c r="D54" s="729">
        <v>186.70218473868653</v>
      </c>
      <c r="E54" s="673">
        <v>6306726.100000001</v>
      </c>
      <c r="F54" s="738">
        <v>193.0760057107918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239</v>
      </c>
      <c r="F59" s="740">
        <v>896.0669456066946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265</v>
      </c>
      <c r="F60" s="729">
        <v>915.3207547169811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172958.9</v>
      </c>
      <c r="D61" s="729">
        <v>186.70218473868653</v>
      </c>
      <c r="E61" s="694">
        <v>6306991.100000001</v>
      </c>
      <c r="F61" s="741">
        <v>193.10635217164008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1639</v>
      </c>
      <c r="D63" s="733"/>
      <c r="E63" s="700"/>
      <c r="F63" s="701"/>
      <c r="G63" s="702" t="s">
        <v>1640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7.927710568673547E-05</v>
      </c>
      <c r="I65" s="682"/>
    </row>
    <row r="66" spans="1:8" ht="13.5" customHeight="1">
      <c r="A66" s="665" t="s">
        <v>665</v>
      </c>
      <c r="B66" s="677">
        <v>3468</v>
      </c>
      <c r="C66" s="670">
        <v>172958.9</v>
      </c>
      <c r="D66" s="736">
        <v>186.70218473868647</v>
      </c>
      <c r="E66" s="677">
        <v>126468</v>
      </c>
      <c r="F66" s="670">
        <v>6306491.100000001</v>
      </c>
      <c r="G66" s="686">
        <v>193.1058056198636</v>
      </c>
      <c r="H66" s="714">
        <f>F66/F67</f>
        <v>0.9999207228943132</v>
      </c>
    </row>
    <row r="67" spans="1:8" ht="13.5" customHeight="1">
      <c r="A67" s="715" t="s">
        <v>666</v>
      </c>
      <c r="B67" s="677">
        <v>3468</v>
      </c>
      <c r="C67" s="670">
        <v>172958.9</v>
      </c>
      <c r="D67" s="736">
        <v>186.70218473868647</v>
      </c>
      <c r="E67" s="677">
        <v>126478</v>
      </c>
      <c r="F67" s="670">
        <v>6306991.100000001</v>
      </c>
      <c r="G67" s="686">
        <v>193.10635217164008</v>
      </c>
      <c r="H67" s="714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8.8515625" style="744" customWidth="1"/>
  </cols>
  <sheetData>
    <row r="1" spans="1:10" ht="15" customHeight="1">
      <c r="A1" s="105" t="s">
        <v>1597</v>
      </c>
      <c r="B1" s="368"/>
      <c r="C1" s="395"/>
      <c r="D1" s="368"/>
      <c r="E1" s="395"/>
      <c r="F1" s="368"/>
      <c r="G1" s="402"/>
      <c r="H1" s="369"/>
      <c r="I1" s="392"/>
      <c r="J1" s="210"/>
    </row>
    <row r="2" spans="1:10" ht="15" customHeight="1">
      <c r="A2" s="111" t="s">
        <v>1598</v>
      </c>
      <c r="B2" s="368"/>
      <c r="C2" s="395"/>
      <c r="D2" s="368"/>
      <c r="E2" s="395"/>
      <c r="F2" s="368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  <c r="J7" s="210"/>
    </row>
    <row r="8" spans="1:10" ht="15" customHeight="1">
      <c r="A8" s="114" t="s">
        <v>1599</v>
      </c>
      <c r="B8" s="370"/>
      <c r="C8" s="397"/>
      <c r="D8" s="370"/>
      <c r="E8" s="397"/>
      <c r="F8" s="370"/>
      <c r="G8" s="403"/>
      <c r="H8" s="371"/>
      <c r="I8" s="393"/>
      <c r="J8" s="210"/>
    </row>
    <row r="9" spans="1:10" ht="15" customHeight="1">
      <c r="A9" s="114"/>
      <c r="B9" s="370"/>
      <c r="C9" s="397" t="s">
        <v>1600</v>
      </c>
      <c r="D9" s="370"/>
      <c r="E9" s="397"/>
      <c r="F9" s="370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748" t="s">
        <v>36</v>
      </c>
      <c r="B15" s="758">
        <v>356</v>
      </c>
      <c r="C15" s="763">
        <v>17759.5</v>
      </c>
      <c r="D15" s="758">
        <v>42</v>
      </c>
      <c r="E15" s="767">
        <v>2095.6</v>
      </c>
      <c r="F15" s="758">
        <v>398</v>
      </c>
      <c r="G15" s="767">
        <v>19855.1</v>
      </c>
      <c r="H15" s="749" t="s">
        <v>1603</v>
      </c>
      <c r="I15" s="750">
        <v>210.12</v>
      </c>
      <c r="J15" s="210"/>
    </row>
    <row r="16" spans="1:10" ht="15" customHeight="1">
      <c r="A16" s="751" t="s">
        <v>213</v>
      </c>
      <c r="B16" s="759">
        <v>170</v>
      </c>
      <c r="C16" s="764">
        <v>8477.5</v>
      </c>
      <c r="D16" s="759">
        <v>0</v>
      </c>
      <c r="E16" s="768">
        <v>0</v>
      </c>
      <c r="F16" s="759">
        <v>170</v>
      </c>
      <c r="G16" s="768">
        <v>8477.5</v>
      </c>
      <c r="H16" s="753" t="s">
        <v>1604</v>
      </c>
      <c r="I16" s="754">
        <v>135.98</v>
      </c>
      <c r="J16" s="210"/>
    </row>
    <row r="17" spans="1:10" ht="15" customHeight="1">
      <c r="A17" s="751" t="s">
        <v>38</v>
      </c>
      <c r="B17" s="759">
        <v>30</v>
      </c>
      <c r="C17" s="764">
        <v>1497</v>
      </c>
      <c r="D17" s="759">
        <v>0</v>
      </c>
      <c r="E17" s="768">
        <v>0</v>
      </c>
      <c r="F17" s="759">
        <v>30</v>
      </c>
      <c r="G17" s="768">
        <v>1497</v>
      </c>
      <c r="H17" s="753" t="s">
        <v>1605</v>
      </c>
      <c r="I17" s="754">
        <v>145</v>
      </c>
      <c r="J17" s="210"/>
    </row>
    <row r="18" spans="1:10" ht="15" customHeight="1">
      <c r="A18" s="751" t="s">
        <v>170</v>
      </c>
      <c r="B18" s="760"/>
      <c r="C18" s="764">
        <v>0</v>
      </c>
      <c r="D18" s="759">
        <v>20</v>
      </c>
      <c r="E18" s="768">
        <v>997.6</v>
      </c>
      <c r="F18" s="759">
        <v>20</v>
      </c>
      <c r="G18" s="768">
        <v>997.6</v>
      </c>
      <c r="H18" s="753" t="s">
        <v>1606</v>
      </c>
      <c r="I18" s="754">
        <v>205.24</v>
      </c>
      <c r="J18" s="210"/>
    </row>
    <row r="19" spans="1:10" ht="15" customHeight="1">
      <c r="A19" s="751" t="s">
        <v>358</v>
      </c>
      <c r="B19" s="759">
        <v>10</v>
      </c>
      <c r="C19" s="764">
        <v>498.5</v>
      </c>
      <c r="D19" s="759">
        <v>0</v>
      </c>
      <c r="E19" s="768">
        <v>0</v>
      </c>
      <c r="F19" s="759">
        <v>10</v>
      </c>
      <c r="G19" s="768">
        <v>498.5</v>
      </c>
      <c r="H19" s="752">
        <v>69291.5</v>
      </c>
      <c r="I19" s="754">
        <v>139</v>
      </c>
      <c r="J19" s="210"/>
    </row>
    <row r="20" spans="1:10" ht="15" customHeight="1">
      <c r="A20" s="751" t="s">
        <v>41</v>
      </c>
      <c r="B20" s="759">
        <v>57</v>
      </c>
      <c r="C20" s="764">
        <v>2844</v>
      </c>
      <c r="D20" s="759">
        <v>0</v>
      </c>
      <c r="E20" s="768">
        <v>0</v>
      </c>
      <c r="F20" s="759">
        <v>57</v>
      </c>
      <c r="G20" s="768">
        <v>2844</v>
      </c>
      <c r="H20" s="753" t="s">
        <v>1607</v>
      </c>
      <c r="I20" s="754">
        <v>224.01</v>
      </c>
      <c r="J20" s="210"/>
    </row>
    <row r="21" spans="1:10" ht="15" customHeight="1">
      <c r="A21" s="751" t="s">
        <v>176</v>
      </c>
      <c r="B21" s="759">
        <v>11</v>
      </c>
      <c r="C21" s="764">
        <v>548.5</v>
      </c>
      <c r="D21" s="759">
        <v>0</v>
      </c>
      <c r="E21" s="768">
        <v>0</v>
      </c>
      <c r="F21" s="759">
        <v>11</v>
      </c>
      <c r="G21" s="768">
        <v>548.5</v>
      </c>
      <c r="H21" s="753" t="s">
        <v>1608</v>
      </c>
      <c r="I21" s="754">
        <v>278</v>
      </c>
      <c r="J21" s="210"/>
    </row>
    <row r="22" spans="1:10" ht="15" customHeight="1">
      <c r="A22" s="751" t="s">
        <v>42</v>
      </c>
      <c r="B22" s="759">
        <v>105</v>
      </c>
      <c r="C22" s="764">
        <v>5216</v>
      </c>
      <c r="D22" s="759">
        <v>30</v>
      </c>
      <c r="E22" s="768">
        <v>1497.6</v>
      </c>
      <c r="F22" s="759">
        <v>135</v>
      </c>
      <c r="G22" s="768">
        <v>6713.6</v>
      </c>
      <c r="H22" s="753" t="s">
        <v>1609</v>
      </c>
      <c r="I22" s="754">
        <v>188.86</v>
      </c>
      <c r="J22" s="210"/>
    </row>
    <row r="23" spans="1:10" ht="15" customHeight="1">
      <c r="A23" s="751" t="s">
        <v>178</v>
      </c>
      <c r="B23" s="759">
        <v>66</v>
      </c>
      <c r="C23" s="764">
        <v>3288</v>
      </c>
      <c r="D23" s="759">
        <v>0</v>
      </c>
      <c r="E23" s="768">
        <v>0</v>
      </c>
      <c r="F23" s="759">
        <v>66</v>
      </c>
      <c r="G23" s="768">
        <v>3288</v>
      </c>
      <c r="H23" s="753" t="s">
        <v>1610</v>
      </c>
      <c r="I23" s="754">
        <v>195.82</v>
      </c>
      <c r="J23" s="210"/>
    </row>
    <row r="24" spans="1:10" ht="15" customHeight="1">
      <c r="A24" s="751" t="s">
        <v>43</v>
      </c>
      <c r="B24" s="759">
        <v>375</v>
      </c>
      <c r="C24" s="764">
        <v>18714</v>
      </c>
      <c r="D24" s="759">
        <v>85</v>
      </c>
      <c r="E24" s="768">
        <v>4243.1</v>
      </c>
      <c r="F24" s="759">
        <v>460</v>
      </c>
      <c r="G24" s="768">
        <v>22957.1</v>
      </c>
      <c r="H24" s="753" t="s">
        <v>1611</v>
      </c>
      <c r="I24" s="754">
        <v>189.42</v>
      </c>
      <c r="J24" s="210"/>
    </row>
    <row r="25" spans="1:10" ht="15" customHeight="1">
      <c r="A25" s="751" t="s">
        <v>45</v>
      </c>
      <c r="B25" s="759">
        <v>35</v>
      </c>
      <c r="C25" s="764">
        <v>1744</v>
      </c>
      <c r="D25" s="759">
        <v>10</v>
      </c>
      <c r="E25" s="768">
        <v>499.2</v>
      </c>
      <c r="F25" s="759">
        <v>45</v>
      </c>
      <c r="G25" s="768">
        <v>2243.2</v>
      </c>
      <c r="H25" s="753" t="s">
        <v>1612</v>
      </c>
      <c r="I25" s="754">
        <v>166.14</v>
      </c>
      <c r="J25" s="210"/>
    </row>
    <row r="26" spans="1:10" ht="15" customHeight="1">
      <c r="A26" s="751" t="s">
        <v>55</v>
      </c>
      <c r="B26" s="759">
        <v>125</v>
      </c>
      <c r="C26" s="764">
        <v>6235</v>
      </c>
      <c r="D26" s="759">
        <v>20</v>
      </c>
      <c r="E26" s="768">
        <v>998.4</v>
      </c>
      <c r="F26" s="759">
        <v>145</v>
      </c>
      <c r="G26" s="768">
        <v>7233.4</v>
      </c>
      <c r="H26" s="753" t="s">
        <v>1613</v>
      </c>
      <c r="I26" s="754">
        <v>163.86</v>
      </c>
      <c r="J26" s="210"/>
    </row>
    <row r="27" spans="1:10" ht="15" customHeight="1">
      <c r="A27" s="751" t="s">
        <v>400</v>
      </c>
      <c r="B27" s="760"/>
      <c r="C27" s="764">
        <v>0</v>
      </c>
      <c r="D27" s="759">
        <v>40</v>
      </c>
      <c r="E27" s="768">
        <v>1995.2</v>
      </c>
      <c r="F27" s="759">
        <v>40</v>
      </c>
      <c r="G27" s="768">
        <v>1995.2</v>
      </c>
      <c r="H27" s="753" t="s">
        <v>1614</v>
      </c>
      <c r="I27" s="754">
        <v>186.03</v>
      </c>
      <c r="J27" s="210"/>
    </row>
    <row r="28" spans="1:10" ht="15" customHeight="1">
      <c r="A28" s="751" t="s">
        <v>400</v>
      </c>
      <c r="B28" s="760"/>
      <c r="C28" s="764">
        <v>0</v>
      </c>
      <c r="D28" s="759">
        <v>5</v>
      </c>
      <c r="E28" s="768">
        <v>249</v>
      </c>
      <c r="F28" s="759">
        <v>5</v>
      </c>
      <c r="G28" s="768">
        <v>249</v>
      </c>
      <c r="H28" s="752">
        <v>69968</v>
      </c>
      <c r="I28" s="754">
        <v>281</v>
      </c>
      <c r="J28" s="210"/>
    </row>
    <row r="29" spans="1:10" ht="15" customHeight="1">
      <c r="A29" s="751" t="s">
        <v>69</v>
      </c>
      <c r="B29" s="759">
        <v>45</v>
      </c>
      <c r="C29" s="764">
        <v>2248.5</v>
      </c>
      <c r="D29" s="759">
        <v>0</v>
      </c>
      <c r="E29" s="768">
        <v>0</v>
      </c>
      <c r="F29" s="759">
        <v>45</v>
      </c>
      <c r="G29" s="768">
        <v>2248.5</v>
      </c>
      <c r="H29" s="753" t="s">
        <v>1615</v>
      </c>
      <c r="I29" s="754">
        <v>141.56</v>
      </c>
      <c r="J29" s="210"/>
    </row>
    <row r="30" spans="1:10" ht="15" customHeight="1">
      <c r="A30" s="751" t="s">
        <v>230</v>
      </c>
      <c r="B30" s="759">
        <v>61</v>
      </c>
      <c r="C30" s="764">
        <v>3041</v>
      </c>
      <c r="D30" s="759">
        <v>0</v>
      </c>
      <c r="E30" s="768">
        <v>0</v>
      </c>
      <c r="F30" s="759">
        <v>61</v>
      </c>
      <c r="G30" s="768">
        <v>3041</v>
      </c>
      <c r="H30" s="753" t="s">
        <v>1616</v>
      </c>
      <c r="I30" s="754">
        <v>205.43</v>
      </c>
      <c r="J30" s="210"/>
    </row>
    <row r="31" spans="1:10" ht="15" customHeight="1">
      <c r="A31" s="751" t="s">
        <v>46</v>
      </c>
      <c r="B31" s="759">
        <v>620</v>
      </c>
      <c r="C31" s="764">
        <v>30917.5</v>
      </c>
      <c r="D31" s="759">
        <v>20</v>
      </c>
      <c r="E31" s="768">
        <v>996.8</v>
      </c>
      <c r="F31" s="759">
        <v>640</v>
      </c>
      <c r="G31" s="768">
        <v>31914.3</v>
      </c>
      <c r="H31" s="753" t="s">
        <v>1617</v>
      </c>
      <c r="I31" s="754">
        <v>175.05</v>
      </c>
      <c r="J31" s="210"/>
    </row>
    <row r="32" spans="1:10" ht="15" customHeight="1">
      <c r="A32" s="751" t="s">
        <v>47</v>
      </c>
      <c r="B32" s="759">
        <v>30</v>
      </c>
      <c r="C32" s="764">
        <v>1492.5</v>
      </c>
      <c r="D32" s="759">
        <v>0</v>
      </c>
      <c r="E32" s="768">
        <v>0</v>
      </c>
      <c r="F32" s="759">
        <v>30</v>
      </c>
      <c r="G32" s="768">
        <v>1492.5</v>
      </c>
      <c r="H32" s="753" t="s">
        <v>1618</v>
      </c>
      <c r="I32" s="754">
        <v>148.05</v>
      </c>
      <c r="J32" s="210"/>
    </row>
    <row r="33" spans="1:10" ht="15" customHeight="1">
      <c r="A33" s="751" t="s">
        <v>233</v>
      </c>
      <c r="B33" s="760"/>
      <c r="C33" s="764">
        <v>0</v>
      </c>
      <c r="D33" s="759">
        <v>10</v>
      </c>
      <c r="E33" s="768">
        <v>499.2</v>
      </c>
      <c r="F33" s="759">
        <v>10</v>
      </c>
      <c r="G33" s="768">
        <v>499.2</v>
      </c>
      <c r="H33" s="752">
        <v>93350.4</v>
      </c>
      <c r="I33" s="754">
        <v>187</v>
      </c>
      <c r="J33" s="210"/>
    </row>
    <row r="34" spans="1:10" ht="15" customHeight="1">
      <c r="A34" s="751" t="s">
        <v>1619</v>
      </c>
      <c r="B34" s="759">
        <v>10</v>
      </c>
      <c r="C34" s="764">
        <v>500</v>
      </c>
      <c r="D34" s="759">
        <v>0</v>
      </c>
      <c r="E34" s="768">
        <v>0</v>
      </c>
      <c r="F34" s="759">
        <v>10</v>
      </c>
      <c r="G34" s="768">
        <v>500</v>
      </c>
      <c r="H34" s="752">
        <v>65000</v>
      </c>
      <c r="I34" s="754">
        <v>130</v>
      </c>
      <c r="J34" s="210"/>
    </row>
    <row r="35" spans="1:10" ht="15" customHeight="1">
      <c r="A35" s="751" t="s">
        <v>112</v>
      </c>
      <c r="B35" s="759">
        <v>10</v>
      </c>
      <c r="C35" s="764">
        <v>499.5</v>
      </c>
      <c r="D35" s="759">
        <v>0</v>
      </c>
      <c r="E35" s="768">
        <v>0</v>
      </c>
      <c r="F35" s="759">
        <v>10</v>
      </c>
      <c r="G35" s="768">
        <v>499.5</v>
      </c>
      <c r="H35" s="753" t="s">
        <v>1620</v>
      </c>
      <c r="I35" s="754">
        <v>265</v>
      </c>
      <c r="J35" s="210"/>
    </row>
    <row r="36" spans="1:10" ht="15" customHeight="1">
      <c r="A36" s="751" t="s">
        <v>194</v>
      </c>
      <c r="B36" s="760"/>
      <c r="C36" s="764">
        <v>0</v>
      </c>
      <c r="D36" s="759">
        <v>3</v>
      </c>
      <c r="E36" s="768">
        <v>149.5</v>
      </c>
      <c r="F36" s="759">
        <v>3</v>
      </c>
      <c r="G36" s="768">
        <v>149.5</v>
      </c>
      <c r="H36" s="752">
        <v>41112.5</v>
      </c>
      <c r="I36" s="754">
        <v>275</v>
      </c>
      <c r="J36" s="210"/>
    </row>
    <row r="37" spans="1:10" ht="15" customHeight="1">
      <c r="A37" s="751" t="s">
        <v>50</v>
      </c>
      <c r="B37" s="759">
        <v>20</v>
      </c>
      <c r="C37" s="764">
        <v>997</v>
      </c>
      <c r="D37" s="759">
        <v>0</v>
      </c>
      <c r="E37" s="768">
        <v>0</v>
      </c>
      <c r="F37" s="759">
        <v>20</v>
      </c>
      <c r="G37" s="768">
        <v>997</v>
      </c>
      <c r="H37" s="753" t="s">
        <v>1621</v>
      </c>
      <c r="I37" s="754">
        <v>202.5</v>
      </c>
      <c r="J37" s="210"/>
    </row>
    <row r="38" spans="1:10" ht="15" customHeight="1">
      <c r="A38" s="751" t="s">
        <v>1263</v>
      </c>
      <c r="B38" s="760"/>
      <c r="C38" s="764">
        <v>0</v>
      </c>
      <c r="D38" s="759">
        <v>80</v>
      </c>
      <c r="E38" s="768">
        <v>3992</v>
      </c>
      <c r="F38" s="759">
        <v>80</v>
      </c>
      <c r="G38" s="768">
        <v>3992</v>
      </c>
      <c r="H38" s="753" t="s">
        <v>1622</v>
      </c>
      <c r="I38" s="754">
        <v>194.12</v>
      </c>
      <c r="J38" s="210"/>
    </row>
    <row r="39" spans="1:10" ht="15" customHeight="1">
      <c r="A39" s="751" t="s">
        <v>51</v>
      </c>
      <c r="B39" s="759">
        <v>11</v>
      </c>
      <c r="C39" s="764">
        <v>548.5</v>
      </c>
      <c r="D39" s="759">
        <v>0</v>
      </c>
      <c r="E39" s="768">
        <v>0</v>
      </c>
      <c r="F39" s="759">
        <v>11</v>
      </c>
      <c r="G39" s="768">
        <v>548.5</v>
      </c>
      <c r="H39" s="753" t="s">
        <v>1623</v>
      </c>
      <c r="I39" s="754">
        <v>275</v>
      </c>
      <c r="J39" s="210"/>
    </row>
    <row r="40" spans="1:10" ht="15" customHeight="1">
      <c r="A40" s="751" t="s">
        <v>52</v>
      </c>
      <c r="B40" s="759">
        <v>10</v>
      </c>
      <c r="C40" s="764">
        <v>498.5</v>
      </c>
      <c r="D40" s="759">
        <v>0</v>
      </c>
      <c r="E40" s="768">
        <v>0</v>
      </c>
      <c r="F40" s="759">
        <v>10</v>
      </c>
      <c r="G40" s="768">
        <v>498.5</v>
      </c>
      <c r="H40" s="753" t="s">
        <v>1191</v>
      </c>
      <c r="I40" s="754">
        <v>275</v>
      </c>
      <c r="J40" s="210"/>
    </row>
    <row r="41" spans="1:10" ht="15" customHeight="1">
      <c r="A41" s="751" t="s">
        <v>1624</v>
      </c>
      <c r="B41" s="759">
        <v>20</v>
      </c>
      <c r="C41" s="764">
        <v>997</v>
      </c>
      <c r="D41" s="759">
        <v>0</v>
      </c>
      <c r="E41" s="768">
        <v>0</v>
      </c>
      <c r="F41" s="759">
        <v>20</v>
      </c>
      <c r="G41" s="768">
        <v>997</v>
      </c>
      <c r="H41" s="753" t="s">
        <v>1625</v>
      </c>
      <c r="I41" s="754">
        <v>214</v>
      </c>
      <c r="J41" s="210"/>
    </row>
    <row r="42" spans="1:10" ht="15" customHeight="1">
      <c r="A42" s="751" t="s">
        <v>198</v>
      </c>
      <c r="B42" s="759">
        <v>55</v>
      </c>
      <c r="C42" s="764">
        <v>2742.5</v>
      </c>
      <c r="D42" s="759">
        <v>50</v>
      </c>
      <c r="E42" s="768">
        <v>2496</v>
      </c>
      <c r="F42" s="759">
        <v>105</v>
      </c>
      <c r="G42" s="768">
        <v>5238.5</v>
      </c>
      <c r="H42" s="753" t="s">
        <v>1626</v>
      </c>
      <c r="I42" s="754">
        <v>164.39</v>
      </c>
      <c r="J42" s="210"/>
    </row>
    <row r="43" spans="1:10" ht="15" customHeight="1">
      <c r="A43" s="751" t="s">
        <v>707</v>
      </c>
      <c r="B43" s="759">
        <v>85</v>
      </c>
      <c r="C43" s="764">
        <v>4242.5</v>
      </c>
      <c r="D43" s="759">
        <v>0</v>
      </c>
      <c r="E43" s="768">
        <v>0</v>
      </c>
      <c r="F43" s="759">
        <v>85</v>
      </c>
      <c r="G43" s="768">
        <v>4242.5</v>
      </c>
      <c r="H43" s="753" t="s">
        <v>1627</v>
      </c>
      <c r="I43" s="754">
        <v>157.04</v>
      </c>
      <c r="J43" s="210"/>
    </row>
    <row r="44" spans="1:10" ht="15" customHeight="1">
      <c r="A44" s="751" t="s">
        <v>53</v>
      </c>
      <c r="B44" s="759">
        <v>234</v>
      </c>
      <c r="C44" s="764">
        <v>11663</v>
      </c>
      <c r="D44" s="759">
        <v>0</v>
      </c>
      <c r="E44" s="768">
        <v>0</v>
      </c>
      <c r="F44" s="759">
        <v>234</v>
      </c>
      <c r="G44" s="768">
        <v>11663</v>
      </c>
      <c r="H44" s="752">
        <v>2708703</v>
      </c>
      <c r="I44" s="754">
        <f>H44/G44</f>
        <v>232.24753493955242</v>
      </c>
      <c r="J44" s="210"/>
    </row>
    <row r="45" spans="1:10" ht="15" customHeight="1">
      <c r="A45" s="751" t="s">
        <v>201</v>
      </c>
      <c r="B45" s="759">
        <v>20</v>
      </c>
      <c r="C45" s="764">
        <v>997</v>
      </c>
      <c r="D45" s="759">
        <v>0</v>
      </c>
      <c r="E45" s="768">
        <v>0</v>
      </c>
      <c r="F45" s="759">
        <v>20</v>
      </c>
      <c r="G45" s="768">
        <v>997</v>
      </c>
      <c r="H45" s="753" t="s">
        <v>1628</v>
      </c>
      <c r="I45" s="754">
        <v>213</v>
      </c>
      <c r="J45" s="210"/>
    </row>
    <row r="46" spans="1:10" ht="15" customHeight="1">
      <c r="A46" s="751" t="s">
        <v>54</v>
      </c>
      <c r="B46" s="760"/>
      <c r="C46" s="764">
        <v>0</v>
      </c>
      <c r="D46" s="759">
        <v>72</v>
      </c>
      <c r="E46" s="768">
        <v>3593.9</v>
      </c>
      <c r="F46" s="759">
        <v>72</v>
      </c>
      <c r="G46" s="768">
        <v>3593.9</v>
      </c>
      <c r="H46" s="753" t="s">
        <v>1629</v>
      </c>
      <c r="I46" s="754">
        <v>200.97</v>
      </c>
      <c r="J46" s="210"/>
    </row>
    <row r="47" spans="1:10" ht="15" customHeight="1">
      <c r="A47" s="751" t="s">
        <v>1630</v>
      </c>
      <c r="B47" s="759">
        <v>20</v>
      </c>
      <c r="C47" s="764">
        <v>997</v>
      </c>
      <c r="D47" s="759">
        <v>0</v>
      </c>
      <c r="E47" s="768">
        <v>0</v>
      </c>
      <c r="F47" s="759">
        <v>20</v>
      </c>
      <c r="G47" s="768">
        <v>997</v>
      </c>
      <c r="H47" s="753" t="s">
        <v>1631</v>
      </c>
      <c r="I47" s="754">
        <v>139.5</v>
      </c>
      <c r="J47" s="210"/>
    </row>
    <row r="48" spans="1:10" ht="15" customHeight="1">
      <c r="A48" s="751" t="s">
        <v>1309</v>
      </c>
      <c r="B48" s="759">
        <v>20</v>
      </c>
      <c r="C48" s="764">
        <v>995.5</v>
      </c>
      <c r="D48" s="759">
        <v>0</v>
      </c>
      <c r="E48" s="768">
        <v>0</v>
      </c>
      <c r="F48" s="759">
        <v>20</v>
      </c>
      <c r="G48" s="768">
        <v>995.5</v>
      </c>
      <c r="H48" s="753" t="s">
        <v>1632</v>
      </c>
      <c r="I48" s="754">
        <v>197.62</v>
      </c>
      <c r="J48" s="210"/>
    </row>
    <row r="49" spans="1:10" ht="15" customHeight="1">
      <c r="A49" s="751" t="s">
        <v>71</v>
      </c>
      <c r="B49" s="759">
        <v>30</v>
      </c>
      <c r="C49" s="764">
        <v>1498.5</v>
      </c>
      <c r="D49" s="759">
        <v>30</v>
      </c>
      <c r="E49" s="768">
        <v>1497.6</v>
      </c>
      <c r="F49" s="759">
        <v>60</v>
      </c>
      <c r="G49" s="768">
        <v>2996.1</v>
      </c>
      <c r="H49" s="753" t="s">
        <v>1633</v>
      </c>
      <c r="I49" s="754">
        <v>156.99</v>
      </c>
      <c r="J49" s="210"/>
    </row>
    <row r="50" spans="1:10" ht="15" customHeight="1">
      <c r="A50" s="751" t="s">
        <v>243</v>
      </c>
      <c r="B50" s="759">
        <v>120</v>
      </c>
      <c r="C50" s="764">
        <v>5982</v>
      </c>
      <c r="D50" s="759">
        <v>35</v>
      </c>
      <c r="E50" s="768">
        <v>1744.7</v>
      </c>
      <c r="F50" s="759">
        <v>155</v>
      </c>
      <c r="G50" s="768">
        <v>7726.7</v>
      </c>
      <c r="H50" s="753" t="s">
        <v>1634</v>
      </c>
      <c r="I50" s="754">
        <v>164.39</v>
      </c>
      <c r="J50" s="210"/>
    </row>
    <row r="51" spans="1:10" ht="15" customHeight="1">
      <c r="A51" s="751" t="s">
        <v>379</v>
      </c>
      <c r="B51" s="759">
        <v>135</v>
      </c>
      <c r="C51" s="764">
        <v>6736.5</v>
      </c>
      <c r="D51" s="759">
        <v>0</v>
      </c>
      <c r="E51" s="768">
        <v>0</v>
      </c>
      <c r="F51" s="759">
        <v>135</v>
      </c>
      <c r="G51" s="768">
        <v>6736.5</v>
      </c>
      <c r="H51" s="753" t="s">
        <v>1635</v>
      </c>
      <c r="I51" s="754">
        <v>197.93</v>
      </c>
      <c r="J51" s="210"/>
    </row>
    <row r="52" spans="1:10" ht="15" customHeight="1">
      <c r="A52" s="751" t="s">
        <v>288</v>
      </c>
      <c r="B52" s="759">
        <v>10</v>
      </c>
      <c r="C52" s="764">
        <v>498.5</v>
      </c>
      <c r="D52" s="759">
        <v>0</v>
      </c>
      <c r="E52" s="768">
        <v>0</v>
      </c>
      <c r="F52" s="759">
        <v>10</v>
      </c>
      <c r="G52" s="768">
        <v>498.5</v>
      </c>
      <c r="H52" s="753" t="s">
        <v>371</v>
      </c>
      <c r="I52" s="754">
        <v>314</v>
      </c>
      <c r="J52" s="210"/>
    </row>
    <row r="53" spans="1:10" ht="15" customHeight="1">
      <c r="A53" s="751" t="s">
        <v>57</v>
      </c>
      <c r="B53" s="759">
        <v>10</v>
      </c>
      <c r="C53" s="764">
        <v>498.5</v>
      </c>
      <c r="D53" s="759">
        <v>0</v>
      </c>
      <c r="E53" s="768">
        <v>0</v>
      </c>
      <c r="F53" s="759">
        <v>10</v>
      </c>
      <c r="G53" s="768">
        <v>498.5</v>
      </c>
      <c r="H53" s="753" t="s">
        <v>1636</v>
      </c>
      <c r="I53" s="754">
        <v>260</v>
      </c>
      <c r="J53" s="210"/>
    </row>
    <row r="54" spans="1:10" ht="15" customHeight="1">
      <c r="A54" s="755" t="s">
        <v>19</v>
      </c>
      <c r="B54" s="761">
        <v>2916</v>
      </c>
      <c r="C54" s="765" t="s">
        <v>1601</v>
      </c>
      <c r="D54" s="761">
        <v>552</v>
      </c>
      <c r="E54" s="757">
        <v>27545.4</v>
      </c>
      <c r="F54" s="761">
        <v>3468</v>
      </c>
      <c r="G54" s="765" t="s">
        <v>1637</v>
      </c>
      <c r="H54" s="756" t="s">
        <v>1602</v>
      </c>
      <c r="I54" s="747">
        <v>186.7</v>
      </c>
      <c r="J54" s="210"/>
    </row>
    <row r="55" spans="1:10" ht="15" customHeight="1">
      <c r="A55" s="142" t="s">
        <v>62</v>
      </c>
      <c r="C55" s="399"/>
      <c r="D55" s="388"/>
      <c r="E55" s="399"/>
      <c r="F55" s="388"/>
      <c r="G55" s="399"/>
      <c r="H55" s="391"/>
      <c r="I55" s="391"/>
      <c r="J55" s="210"/>
    </row>
    <row r="56" spans="1:11" ht="15" customHeight="1">
      <c r="A56" s="142" t="s">
        <v>63</v>
      </c>
      <c r="C56" s="399"/>
      <c r="D56" s="388"/>
      <c r="E56" s="399"/>
      <c r="F56" s="388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C57" s="399"/>
      <c r="D57" s="388"/>
      <c r="E57" s="399"/>
      <c r="F57" s="388"/>
      <c r="G57" s="399"/>
      <c r="H57" s="389" t="s">
        <v>66</v>
      </c>
      <c r="I57" s="408"/>
      <c r="J57" s="210"/>
    </row>
    <row r="58" spans="1:10" ht="15" customHeight="1">
      <c r="A58" s="142" t="s">
        <v>158</v>
      </c>
      <c r="C58" s="399"/>
      <c r="D58" s="388"/>
      <c r="E58" s="399"/>
      <c r="F58" s="388"/>
      <c r="G58" s="405"/>
      <c r="H58" s="389"/>
      <c r="I58" s="408"/>
      <c r="J58" s="210"/>
    </row>
    <row r="59" spans="1:10" ht="15" customHeight="1">
      <c r="A59" s="142" t="s">
        <v>159</v>
      </c>
      <c r="C59" s="399"/>
      <c r="D59" s="388"/>
      <c r="E59" s="399"/>
      <c r="F59" s="388"/>
      <c r="G59" s="405"/>
      <c r="H59" s="389"/>
      <c r="I59" s="408"/>
      <c r="J59" s="210"/>
    </row>
    <row r="60" spans="1:10" ht="15" customHeight="1">
      <c r="A60" s="103"/>
      <c r="C60" s="399"/>
      <c r="D60" s="388"/>
      <c r="E60" s="399"/>
      <c r="F60" s="388"/>
      <c r="G60" s="399"/>
      <c r="H60" s="391"/>
      <c r="I60" s="391"/>
      <c r="J60" s="203"/>
    </row>
    <row r="61" spans="1:10" ht="15" customHeight="1">
      <c r="A61" s="103"/>
      <c r="C61" s="399"/>
      <c r="D61" s="388"/>
      <c r="E61" s="399"/>
      <c r="F61" s="388"/>
      <c r="G61" s="399"/>
      <c r="H61" s="391"/>
      <c r="I61" s="391"/>
      <c r="J61" s="203"/>
    </row>
    <row r="62" spans="1:10" ht="15" customHeight="1">
      <c r="A62" s="103"/>
      <c r="C62" s="399"/>
      <c r="D62" s="388"/>
      <c r="E62" s="399"/>
      <c r="F62" s="388"/>
      <c r="G62" s="399"/>
      <c r="H62" s="391"/>
      <c r="I62" s="391"/>
      <c r="J62" s="309"/>
    </row>
    <row r="63" spans="1:10" ht="15" customHeight="1">
      <c r="A63" s="103"/>
      <c r="C63" s="399"/>
      <c r="D63" s="388"/>
      <c r="E63" s="399"/>
      <c r="F63" s="388"/>
      <c r="G63" s="399"/>
      <c r="H63" s="391"/>
      <c r="I63" s="391"/>
      <c r="J63" s="309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5" customHeight="1">
      <c r="A74" s="103"/>
      <c r="C74" s="399"/>
      <c r="D74" s="388"/>
      <c r="E74" s="399"/>
      <c r="F74" s="388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A1" sqref="A1"/>
    </sheetView>
  </sheetViews>
  <sheetFormatPr defaultColWidth="9.140625" defaultRowHeight="15" customHeight="1"/>
  <cols>
    <col min="1" max="1" width="15.8515625" style="957" customWidth="1"/>
    <col min="2" max="2" width="11.421875" style="957" customWidth="1"/>
    <col min="3" max="3" width="12.140625" style="957" customWidth="1"/>
    <col min="4" max="4" width="14.140625" style="957" customWidth="1"/>
    <col min="5" max="5" width="19.140625" style="957" customWidth="1"/>
    <col min="6" max="6" width="13.28125" style="957" customWidth="1"/>
    <col min="7" max="7" width="9.140625" style="957" customWidth="1"/>
    <col min="8" max="8" width="10.421875" style="957" bestFit="1" customWidth="1"/>
    <col min="9" max="16384" width="9.140625" style="957" customWidth="1"/>
  </cols>
  <sheetData>
    <row r="1" spans="1:8" ht="15" customHeight="1">
      <c r="A1" s="1020" t="s">
        <v>124</v>
      </c>
      <c r="B1" s="1021"/>
      <c r="C1" s="1021"/>
      <c r="D1" s="1021"/>
      <c r="E1" s="1021"/>
      <c r="F1" s="1021"/>
      <c r="G1" s="1022"/>
      <c r="H1" s="18"/>
    </row>
    <row r="2" spans="1:8" ht="15" customHeight="1">
      <c r="A2" s="1023" t="s">
        <v>2009</v>
      </c>
      <c r="B2" s="1021"/>
      <c r="C2" s="1021"/>
      <c r="D2" s="1021"/>
      <c r="E2" s="1021"/>
      <c r="F2" s="1021"/>
      <c r="G2" s="1022"/>
      <c r="H2" s="18"/>
    </row>
    <row r="3" spans="1:8" ht="15" customHeight="1">
      <c r="A3" s="1023"/>
      <c r="B3" s="1021"/>
      <c r="C3" s="1021"/>
      <c r="D3" s="1021"/>
      <c r="E3" s="1021"/>
      <c r="F3" s="1021"/>
      <c r="G3" s="1022"/>
      <c r="H3" s="18"/>
    </row>
    <row r="4" spans="1:8" ht="15" customHeight="1">
      <c r="A4" s="1135" t="s">
        <v>8</v>
      </c>
      <c r="B4" s="1135"/>
      <c r="C4" s="1021"/>
      <c r="D4" s="1021"/>
      <c r="E4" s="1021"/>
      <c r="F4" s="1021"/>
      <c r="G4" s="1022"/>
      <c r="H4" s="18"/>
    </row>
    <row r="5" spans="1:8" ht="15" customHeight="1">
      <c r="A5" s="1135" t="s">
        <v>9</v>
      </c>
      <c r="B5" s="1135"/>
      <c r="C5" s="1135"/>
      <c r="D5" s="1025"/>
      <c r="E5" s="1021"/>
      <c r="F5" s="1021"/>
      <c r="G5" s="1022"/>
      <c r="H5" s="18"/>
    </row>
    <row r="6" spans="1:8" ht="15" customHeight="1">
      <c r="A6" s="1135" t="s">
        <v>10</v>
      </c>
      <c r="B6" s="1135"/>
      <c r="C6" s="1135"/>
      <c r="D6" s="1020"/>
      <c r="E6" s="1020"/>
      <c r="F6" s="1021"/>
      <c r="G6" s="1022"/>
      <c r="H6" s="18"/>
    </row>
    <row r="7" spans="1:8" ht="15" customHeight="1">
      <c r="A7" s="1020" t="s">
        <v>11</v>
      </c>
      <c r="B7" s="1021"/>
      <c r="C7" s="1021"/>
      <c r="D7" s="1021"/>
      <c r="E7" s="1021"/>
      <c r="F7" s="1021"/>
      <c r="G7" s="1022"/>
      <c r="H7" s="18"/>
    </row>
    <row r="8" spans="1:8" ht="15" customHeight="1">
      <c r="A8" s="1024"/>
      <c r="B8" s="1021"/>
      <c r="C8" s="1026" t="s">
        <v>2010</v>
      </c>
      <c r="D8" s="1024"/>
      <c r="E8" s="1024"/>
      <c r="F8" s="1024"/>
      <c r="G8" s="1027"/>
      <c r="H8" s="15"/>
    </row>
    <row r="9" spans="1:8" ht="15" customHeight="1">
      <c r="A9" s="1021" t="s">
        <v>12</v>
      </c>
      <c r="B9" s="1021"/>
      <c r="C9" s="1021"/>
      <c r="D9" s="1021"/>
      <c r="E9" s="1021"/>
      <c r="F9" s="1021"/>
      <c r="G9" s="1022"/>
      <c r="H9" s="18"/>
    </row>
    <row r="10" spans="1:8" ht="15" customHeight="1">
      <c r="A10" s="1024" t="s">
        <v>13</v>
      </c>
      <c r="B10" s="1024"/>
      <c r="C10" s="1024"/>
      <c r="D10" s="1024"/>
      <c r="E10" s="1024"/>
      <c r="F10" s="1024"/>
      <c r="G10" s="1027"/>
      <c r="H10" s="15"/>
    </row>
    <row r="11" spans="1:8" ht="15" customHeight="1">
      <c r="A11" s="1020" t="s">
        <v>125</v>
      </c>
      <c r="B11" s="1028"/>
      <c r="C11" s="1028" t="s">
        <v>14</v>
      </c>
      <c r="D11" s="1028" t="s">
        <v>0</v>
      </c>
      <c r="E11" s="1028" t="s">
        <v>15</v>
      </c>
      <c r="F11" s="1028" t="s">
        <v>1</v>
      </c>
      <c r="G11" s="1029"/>
      <c r="H11" s="18"/>
    </row>
    <row r="12" spans="1:8" ht="15" customHeight="1">
      <c r="A12" s="1021" t="s">
        <v>16</v>
      </c>
      <c r="B12" s="1030" t="s">
        <v>17</v>
      </c>
      <c r="C12" s="1031">
        <v>3121</v>
      </c>
      <c r="D12" s="1032">
        <v>155233.5</v>
      </c>
      <c r="E12" s="1033">
        <v>19388238.5</v>
      </c>
      <c r="F12" s="1034">
        <f>E12/D12</f>
        <v>124.89725800165557</v>
      </c>
      <c r="G12" s="1022"/>
      <c r="H12" s="847"/>
    </row>
    <row r="13" spans="1:8" ht="15" customHeight="1">
      <c r="A13" s="1021" t="s">
        <v>18</v>
      </c>
      <c r="B13" s="1030" t="s">
        <v>17</v>
      </c>
      <c r="C13" s="1035">
        <v>213</v>
      </c>
      <c r="D13" s="1036">
        <v>10569.8</v>
      </c>
      <c r="E13" s="1037">
        <v>1347695.6</v>
      </c>
      <c r="F13" s="1034">
        <f>E13/D13</f>
        <v>127.50436148271493</v>
      </c>
      <c r="G13" s="1022"/>
      <c r="H13" s="847"/>
    </row>
    <row r="14" spans="1:8" ht="15" customHeight="1">
      <c r="A14" s="1021" t="s">
        <v>19</v>
      </c>
      <c r="B14" s="1030"/>
      <c r="C14" s="1038">
        <f>C12+C13</f>
        <v>3334</v>
      </c>
      <c r="D14" s="1039">
        <f>D12+D13</f>
        <v>165803.3</v>
      </c>
      <c r="E14" s="1040">
        <f>E12+E13</f>
        <v>20735934.1</v>
      </c>
      <c r="F14" s="1041">
        <f>E14/D14</f>
        <v>125.06345832682463</v>
      </c>
      <c r="G14" s="1022"/>
      <c r="H14" s="847"/>
    </row>
    <row r="15" spans="1:8" ht="15" customHeight="1">
      <c r="A15" s="1020" t="s">
        <v>20</v>
      </c>
      <c r="B15" s="1028"/>
      <c r="C15" s="1028" t="s">
        <v>14</v>
      </c>
      <c r="D15" s="1028" t="s">
        <v>0</v>
      </c>
      <c r="E15" s="1028" t="s">
        <v>15</v>
      </c>
      <c r="F15" s="1028" t="s">
        <v>1</v>
      </c>
      <c r="G15" s="1022"/>
      <c r="H15" s="847"/>
    </row>
    <row r="16" spans="1:8" ht="15" customHeight="1">
      <c r="A16" s="1021" t="s">
        <v>16</v>
      </c>
      <c r="B16" s="1030" t="s">
        <v>21</v>
      </c>
      <c r="C16" s="1042"/>
      <c r="D16" s="1032"/>
      <c r="E16" s="1033"/>
      <c r="F16" s="1034" t="e">
        <f>E16/D16</f>
        <v>#DIV/0!</v>
      </c>
      <c r="G16" s="1022"/>
      <c r="H16" s="847"/>
    </row>
    <row r="17" spans="1:8" ht="15" customHeight="1">
      <c r="A17" s="1021" t="s">
        <v>19</v>
      </c>
      <c r="B17" s="1030"/>
      <c r="C17" s="1043">
        <f>SUM(C16)</f>
        <v>0</v>
      </c>
      <c r="D17" s="1039">
        <f>SUM(D16)</f>
        <v>0</v>
      </c>
      <c r="E17" s="1044">
        <f>SUM(E16)</f>
        <v>0</v>
      </c>
      <c r="F17" s="1045" t="e">
        <f>E17/D17</f>
        <v>#DIV/0!</v>
      </c>
      <c r="G17" s="1022"/>
      <c r="H17" s="847"/>
    </row>
    <row r="18" spans="1:8" ht="15" customHeight="1">
      <c r="A18" s="1021" t="s">
        <v>1151</v>
      </c>
      <c r="B18" s="1030"/>
      <c r="C18" s="1043">
        <f>C17+C14</f>
        <v>3334</v>
      </c>
      <c r="D18" s="1046">
        <f>D17+D14</f>
        <v>165803.3</v>
      </c>
      <c r="E18" s="1047">
        <f>E17+E14</f>
        <v>20735934.1</v>
      </c>
      <c r="F18" s="1045">
        <f>E18/D18</f>
        <v>125.06345832682463</v>
      </c>
      <c r="G18" s="1022"/>
      <c r="H18" s="847"/>
    </row>
    <row r="19" spans="1:8" ht="15" customHeight="1">
      <c r="A19" s="1020"/>
      <c r="B19" s="1030"/>
      <c r="C19" s="1048"/>
      <c r="D19" s="1049"/>
      <c r="E19" s="1050"/>
      <c r="F19" s="1051"/>
      <c r="G19" s="1022"/>
      <c r="H19" s="847"/>
    </row>
    <row r="20" spans="1:8" ht="15" customHeight="1">
      <c r="A20" s="1020" t="s">
        <v>1181</v>
      </c>
      <c r="B20" s="1028"/>
      <c r="C20" s="1028" t="s">
        <v>14</v>
      </c>
      <c r="D20" s="1028" t="s">
        <v>0</v>
      </c>
      <c r="E20" s="1028" t="s">
        <v>15</v>
      </c>
      <c r="F20" s="1028" t="s">
        <v>1</v>
      </c>
      <c r="G20" s="1022"/>
      <c r="H20" s="847"/>
    </row>
    <row r="21" spans="1:8" ht="15" customHeight="1">
      <c r="A21" s="1021" t="s">
        <v>16</v>
      </c>
      <c r="B21" s="1030" t="s">
        <v>17</v>
      </c>
      <c r="C21" s="1042"/>
      <c r="D21" s="1032"/>
      <c r="E21" s="1033"/>
      <c r="F21" s="1052"/>
      <c r="G21" s="1022"/>
      <c r="H21" s="847"/>
    </row>
    <row r="22" spans="1:8" ht="15" customHeight="1">
      <c r="A22" s="1021" t="s">
        <v>18</v>
      </c>
      <c r="B22" s="1030" t="s">
        <v>17</v>
      </c>
      <c r="C22" s="1053"/>
      <c r="D22" s="1036"/>
      <c r="E22" s="1037"/>
      <c r="F22" s="1054"/>
      <c r="G22" s="1022"/>
      <c r="H22" s="847"/>
    </row>
    <row r="23" spans="1:8" ht="15" customHeight="1">
      <c r="A23" s="1021" t="s">
        <v>19</v>
      </c>
      <c r="B23" s="1030"/>
      <c r="C23" s="1055">
        <f>C21+C22</f>
        <v>0</v>
      </c>
      <c r="D23" s="1036">
        <f>D21+D22</f>
        <v>0</v>
      </c>
      <c r="E23" s="1037">
        <f>E21+E22</f>
        <v>0</v>
      </c>
      <c r="F23" s="1056"/>
      <c r="G23" s="1022"/>
      <c r="H23" s="847"/>
    </row>
    <row r="24" spans="1:8" ht="15" customHeight="1">
      <c r="A24" s="1021"/>
      <c r="B24" s="1030"/>
      <c r="C24" s="1048"/>
      <c r="D24" s="1049"/>
      <c r="E24" s="1050"/>
      <c r="F24" s="1051"/>
      <c r="G24" s="1022"/>
      <c r="H24" s="18"/>
    </row>
    <row r="25" spans="1:8" ht="15" customHeight="1">
      <c r="A25" s="1020" t="s">
        <v>126</v>
      </c>
      <c r="B25" s="1028"/>
      <c r="C25" s="1028" t="s">
        <v>14</v>
      </c>
      <c r="D25" s="1028" t="s">
        <v>0</v>
      </c>
      <c r="E25" s="1028" t="s">
        <v>15</v>
      </c>
      <c r="F25" s="1028" t="s">
        <v>1</v>
      </c>
      <c r="G25" s="1022"/>
      <c r="H25" s="18"/>
    </row>
    <row r="26" spans="1:8" ht="15" customHeight="1">
      <c r="A26" s="1021" t="s">
        <v>16</v>
      </c>
      <c r="B26" s="1030" t="s">
        <v>17</v>
      </c>
      <c r="C26" s="1042"/>
      <c r="D26" s="1032"/>
      <c r="E26" s="1033"/>
      <c r="F26" s="1034" t="e">
        <f>E26/D26</f>
        <v>#DIV/0!</v>
      </c>
      <c r="G26" s="1022"/>
      <c r="H26" s="18"/>
    </row>
    <row r="27" spans="1:8" ht="15" customHeight="1">
      <c r="A27" s="1021" t="s">
        <v>18</v>
      </c>
      <c r="B27" s="1030" t="s">
        <v>17</v>
      </c>
      <c r="C27" s="1053"/>
      <c r="D27" s="1036"/>
      <c r="E27" s="1037"/>
      <c r="F27" s="1054" t="e">
        <f>E27/D27</f>
        <v>#DIV/0!</v>
      </c>
      <c r="G27" s="1022"/>
      <c r="H27" s="18"/>
    </row>
    <row r="28" spans="1:8" ht="15" customHeight="1">
      <c r="A28" s="1021" t="s">
        <v>19</v>
      </c>
      <c r="B28" s="1030"/>
      <c r="C28" s="1043">
        <f>C26+C27</f>
        <v>0</v>
      </c>
      <c r="D28" s="1046">
        <f>D26+D27</f>
        <v>0</v>
      </c>
      <c r="E28" s="1044">
        <f>E26+E27</f>
        <v>0</v>
      </c>
      <c r="F28" s="1041" t="e">
        <f>E28/D28</f>
        <v>#DIV/0!</v>
      </c>
      <c r="G28" s="1022"/>
      <c r="H28" s="18"/>
    </row>
    <row r="29" spans="1:8" ht="15" customHeight="1">
      <c r="A29" s="1021" t="s">
        <v>76</v>
      </c>
      <c r="B29" s="1030" t="s">
        <v>21</v>
      </c>
      <c r="C29" s="1053"/>
      <c r="D29" s="1036"/>
      <c r="E29" s="1037"/>
      <c r="F29" s="1034"/>
      <c r="G29" s="1022"/>
      <c r="H29" s="18"/>
    </row>
    <row r="30" spans="1:8" ht="15" customHeight="1">
      <c r="A30" s="1021" t="s">
        <v>19</v>
      </c>
      <c r="B30" s="1030"/>
      <c r="C30" s="1055">
        <f>C26+C27+C29</f>
        <v>0</v>
      </c>
      <c r="D30" s="1055">
        <f>D26+D27+D29</f>
        <v>0</v>
      </c>
      <c r="E30" s="1058">
        <f>E26+E27+E29</f>
        <v>0</v>
      </c>
      <c r="F30" s="1034" t="e">
        <f>E30/D30</f>
        <v>#DIV/0!</v>
      </c>
      <c r="G30" s="1022"/>
      <c r="H30" s="18"/>
    </row>
    <row r="31" spans="1:8" ht="15" customHeight="1">
      <c r="A31" s="1021" t="s">
        <v>22</v>
      </c>
      <c r="B31" s="1030"/>
      <c r="C31" s="1043">
        <f>C30+C14+C17+C23</f>
        <v>3334</v>
      </c>
      <c r="D31" s="1039">
        <f>D30+D14+D17+D23</f>
        <v>165803.3</v>
      </c>
      <c r="E31" s="1044">
        <f>E14+E17+E23+E28+E29</f>
        <v>20735934.1</v>
      </c>
      <c r="F31" s="1041">
        <f>E31/D31</f>
        <v>125.06345832682463</v>
      </c>
      <c r="G31" s="1059"/>
      <c r="H31" s="18"/>
    </row>
    <row r="32" spans="1:8" ht="15" customHeight="1">
      <c r="A32" s="1021"/>
      <c r="B32" s="1030"/>
      <c r="C32" s="1048"/>
      <c r="D32" s="1049"/>
      <c r="E32" s="1060"/>
      <c r="F32" s="1051"/>
      <c r="G32" s="1061"/>
      <c r="H32" s="18"/>
    </row>
    <row r="33" spans="1:8" ht="15" customHeight="1">
      <c r="A33" s="1021"/>
      <c r="B33" s="1030"/>
      <c r="C33" s="1048"/>
      <c r="D33" s="1062" t="s">
        <v>2011</v>
      </c>
      <c r="E33" s="1060"/>
      <c r="F33" s="1051"/>
      <c r="G33" s="1061"/>
      <c r="H33" s="18"/>
    </row>
    <row r="34" spans="1:8" ht="15" customHeight="1">
      <c r="A34" s="1020" t="s">
        <v>23</v>
      </c>
      <c r="B34" s="1021"/>
      <c r="C34" s="1028" t="s">
        <v>14</v>
      </c>
      <c r="D34" s="1028" t="s">
        <v>0</v>
      </c>
      <c r="E34" s="1063" t="s">
        <v>1</v>
      </c>
      <c r="F34" s="1063" t="s">
        <v>2</v>
      </c>
      <c r="G34" s="1061"/>
      <c r="H34" s="18"/>
    </row>
    <row r="35" spans="1:8" ht="15" customHeight="1">
      <c r="A35" s="1025" t="s">
        <v>24</v>
      </c>
      <c r="B35" s="1021"/>
      <c r="C35" s="1064"/>
      <c r="D35" s="1065"/>
      <c r="E35" s="1050"/>
      <c r="F35" s="1066">
        <f>D35/D37</f>
        <v>0</v>
      </c>
      <c r="G35" s="1061"/>
      <c r="H35" s="846"/>
    </row>
    <row r="36" spans="1:8" ht="15" customHeight="1">
      <c r="A36" s="1025" t="s">
        <v>127</v>
      </c>
      <c r="B36" s="1021"/>
      <c r="C36" s="1062">
        <v>3334</v>
      </c>
      <c r="D36" s="1067">
        <v>165803.3</v>
      </c>
      <c r="E36" s="1057">
        <v>125.06</v>
      </c>
      <c r="F36" s="1068">
        <f>D36/D37</f>
        <v>1</v>
      </c>
      <c r="G36" s="1022"/>
      <c r="H36" s="18"/>
    </row>
    <row r="37" spans="1:8" ht="15" customHeight="1">
      <c r="A37" s="1025" t="s">
        <v>25</v>
      </c>
      <c r="B37" s="1021"/>
      <c r="C37" s="1062">
        <f>C36+C35</f>
        <v>3334</v>
      </c>
      <c r="D37" s="1069">
        <f>D36+D35</f>
        <v>165803.3</v>
      </c>
      <c r="E37" s="1057">
        <v>125.06</v>
      </c>
      <c r="F37" s="1068">
        <f>SUM(F35:F36)</f>
        <v>1</v>
      </c>
      <c r="G37" s="1022"/>
      <c r="H37" s="18"/>
    </row>
    <row r="38" spans="1:8" ht="15" customHeight="1">
      <c r="A38" s="1020"/>
      <c r="B38" s="1021"/>
      <c r="C38" s="1062"/>
      <c r="D38" s="1067"/>
      <c r="E38" s="1070"/>
      <c r="F38" s="1068"/>
      <c r="G38" s="1022"/>
      <c r="H38" s="18"/>
    </row>
    <row r="39" spans="1:8" ht="15" customHeight="1">
      <c r="A39" s="1021" t="s">
        <v>26</v>
      </c>
      <c r="B39" s="1021"/>
      <c r="C39" s="1021"/>
      <c r="D39" s="1021"/>
      <c r="E39" s="1021"/>
      <c r="F39" s="1071"/>
      <c r="G39" s="1022"/>
      <c r="H39" s="18"/>
    </row>
    <row r="40" spans="1:8" ht="15" customHeight="1">
      <c r="A40" s="1021"/>
      <c r="B40" s="1021"/>
      <c r="C40" s="1021"/>
      <c r="D40" s="1021"/>
      <c r="E40" s="1021" t="s">
        <v>27</v>
      </c>
      <c r="F40" s="1021"/>
      <c r="G40" s="1022"/>
      <c r="H40" s="18"/>
    </row>
    <row r="41" spans="1:8" ht="15" customHeight="1">
      <c r="A41" s="1021" t="s">
        <v>28</v>
      </c>
      <c r="B41" s="1021"/>
      <c r="C41" s="1021"/>
      <c r="D41" s="1021" t="s">
        <v>29</v>
      </c>
      <c r="E41" s="1021"/>
      <c r="F41" s="1021"/>
      <c r="G41" s="1022"/>
      <c r="H41" s="18"/>
    </row>
    <row r="42" spans="1:8" ht="15" customHeight="1">
      <c r="A42" s="1021" t="s">
        <v>30</v>
      </c>
      <c r="B42" s="1021"/>
      <c r="C42" s="1021"/>
      <c r="D42" s="1021"/>
      <c r="E42" s="1021"/>
      <c r="F42" s="1021"/>
      <c r="G42" s="1022"/>
      <c r="H42" s="845"/>
    </row>
    <row r="43" spans="1:7" ht="15" customHeight="1">
      <c r="A43" s="1021" t="s">
        <v>31</v>
      </c>
      <c r="B43" s="1021"/>
      <c r="C43" s="1021"/>
      <c r="D43" s="1021"/>
      <c r="E43" s="1021"/>
      <c r="F43" s="1021"/>
      <c r="G43" s="681"/>
    </row>
    <row r="44" spans="1:7" ht="15" customHeight="1">
      <c r="A44" s="1021" t="s">
        <v>32</v>
      </c>
      <c r="B44" s="1021"/>
      <c r="C44" s="1021"/>
      <c r="D44" s="1021"/>
      <c r="E44" s="1021"/>
      <c r="F44" s="1021"/>
      <c r="G44" s="681"/>
    </row>
    <row r="45" spans="1:7" ht="15" customHeight="1">
      <c r="A45" s="1021" t="s">
        <v>33</v>
      </c>
      <c r="B45" s="1021"/>
      <c r="C45" s="1021"/>
      <c r="D45" s="1021"/>
      <c r="E45" s="1021"/>
      <c r="F45" s="1021"/>
      <c r="G45" s="681"/>
    </row>
    <row r="46" spans="1:7" ht="15" customHeight="1">
      <c r="A46" s="365"/>
      <c r="B46" s="365"/>
      <c r="C46" s="365"/>
      <c r="D46" s="365"/>
      <c r="E46" s="365"/>
      <c r="F46" s="365"/>
      <c r="G46" s="365"/>
    </row>
    <row r="47" spans="1:7" ht="15" customHeight="1">
      <c r="A47" s="365"/>
      <c r="B47" s="365"/>
      <c r="C47" s="365"/>
      <c r="D47" s="365"/>
      <c r="E47" s="365"/>
      <c r="F47" s="365"/>
      <c r="G47" s="36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1560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1561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1562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1563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1379</v>
      </c>
      <c r="B15" s="149">
        <v>10</v>
      </c>
      <c r="C15" s="150">
        <v>498.5</v>
      </c>
      <c r="D15" s="149">
        <v>0</v>
      </c>
      <c r="E15" s="151">
        <v>0</v>
      </c>
      <c r="F15" s="149">
        <v>10</v>
      </c>
      <c r="G15" s="151">
        <v>498.5</v>
      </c>
      <c r="H15" s="152" t="s">
        <v>1564</v>
      </c>
      <c r="I15" s="152">
        <v>292</v>
      </c>
      <c r="J15" s="210"/>
    </row>
    <row r="16" spans="1:10" ht="15" customHeight="1">
      <c r="A16" s="131" t="s">
        <v>36</v>
      </c>
      <c r="B16" s="149">
        <v>611</v>
      </c>
      <c r="C16" s="150">
        <v>30490</v>
      </c>
      <c r="D16" s="149">
        <v>20</v>
      </c>
      <c r="E16" s="151">
        <v>998.4</v>
      </c>
      <c r="F16" s="149">
        <v>631</v>
      </c>
      <c r="G16" s="151">
        <v>31488.4</v>
      </c>
      <c r="H16" s="152" t="s">
        <v>1565</v>
      </c>
      <c r="I16" s="152">
        <v>197.28</v>
      </c>
      <c r="J16" s="210"/>
    </row>
    <row r="17" spans="1:10" ht="15" customHeight="1">
      <c r="A17" s="131" t="s">
        <v>490</v>
      </c>
      <c r="B17" s="149">
        <v>10</v>
      </c>
      <c r="C17" s="150">
        <v>500</v>
      </c>
      <c r="D17" s="149">
        <v>0</v>
      </c>
      <c r="E17" s="151">
        <v>0</v>
      </c>
      <c r="F17" s="149">
        <v>10</v>
      </c>
      <c r="G17" s="151">
        <v>500</v>
      </c>
      <c r="H17" s="152">
        <v>95000</v>
      </c>
      <c r="I17" s="152">
        <v>190</v>
      </c>
      <c r="J17" s="210"/>
    </row>
    <row r="18" spans="1:10" ht="15" customHeight="1">
      <c r="A18" s="131" t="s">
        <v>132</v>
      </c>
      <c r="B18" s="149">
        <v>10</v>
      </c>
      <c r="C18" s="150">
        <v>500</v>
      </c>
      <c r="D18" s="149">
        <v>0</v>
      </c>
      <c r="E18" s="151">
        <v>0</v>
      </c>
      <c r="F18" s="149">
        <v>10</v>
      </c>
      <c r="G18" s="151">
        <v>500</v>
      </c>
      <c r="H18" s="152" t="s">
        <v>1566</v>
      </c>
      <c r="I18" s="152">
        <v>290</v>
      </c>
      <c r="J18" s="210"/>
    </row>
    <row r="19" spans="1:10" ht="15" customHeight="1">
      <c r="A19" s="131" t="s">
        <v>213</v>
      </c>
      <c r="B19" s="149">
        <v>145</v>
      </c>
      <c r="C19" s="150">
        <v>7238</v>
      </c>
      <c r="D19" s="149">
        <v>0</v>
      </c>
      <c r="E19" s="151">
        <v>0</v>
      </c>
      <c r="F19" s="149">
        <v>145</v>
      </c>
      <c r="G19" s="151">
        <v>7238</v>
      </c>
      <c r="H19" s="152" t="s">
        <v>1567</v>
      </c>
      <c r="I19" s="152">
        <v>168.83</v>
      </c>
      <c r="J19" s="210"/>
    </row>
    <row r="20" spans="1:10" ht="15" customHeight="1">
      <c r="A20" s="131" t="s">
        <v>586</v>
      </c>
      <c r="B20" s="746"/>
      <c r="C20" s="150">
        <v>0</v>
      </c>
      <c r="D20" s="149">
        <v>3</v>
      </c>
      <c r="E20" s="151">
        <v>149.5</v>
      </c>
      <c r="F20" s="149">
        <v>3</v>
      </c>
      <c r="G20" s="151">
        <v>149.5</v>
      </c>
      <c r="H20" s="152">
        <v>41411.5</v>
      </c>
      <c r="I20" s="152">
        <v>277</v>
      </c>
      <c r="J20" s="210"/>
    </row>
    <row r="21" spans="1:10" ht="15" customHeight="1">
      <c r="A21" s="131" t="s">
        <v>38</v>
      </c>
      <c r="B21" s="149">
        <v>32</v>
      </c>
      <c r="C21" s="150">
        <v>1594</v>
      </c>
      <c r="D21" s="149">
        <v>0</v>
      </c>
      <c r="E21" s="151">
        <v>0</v>
      </c>
      <c r="F21" s="149">
        <v>32</v>
      </c>
      <c r="G21" s="151">
        <v>1594</v>
      </c>
      <c r="H21" s="152" t="s">
        <v>1568</v>
      </c>
      <c r="I21" s="152">
        <v>149.33</v>
      </c>
      <c r="J21" s="210"/>
    </row>
    <row r="22" spans="1:10" ht="15" customHeight="1">
      <c r="A22" s="131" t="s">
        <v>39</v>
      </c>
      <c r="B22" s="149">
        <v>158</v>
      </c>
      <c r="C22" s="150">
        <v>7884.5</v>
      </c>
      <c r="D22" s="149">
        <v>0</v>
      </c>
      <c r="E22" s="151">
        <v>0</v>
      </c>
      <c r="F22" s="149">
        <v>158</v>
      </c>
      <c r="G22" s="151">
        <v>7884.5</v>
      </c>
      <c r="H22" s="152" t="s">
        <v>1569</v>
      </c>
      <c r="I22" s="152">
        <v>264.16</v>
      </c>
      <c r="J22" s="210"/>
    </row>
    <row r="23" spans="1:10" ht="15" customHeight="1">
      <c r="A23" s="131" t="s">
        <v>41</v>
      </c>
      <c r="B23" s="149">
        <v>70</v>
      </c>
      <c r="C23" s="150">
        <v>3491</v>
      </c>
      <c r="D23" s="149">
        <v>0</v>
      </c>
      <c r="E23" s="151">
        <v>0</v>
      </c>
      <c r="F23" s="149">
        <v>70</v>
      </c>
      <c r="G23" s="151">
        <v>3491</v>
      </c>
      <c r="H23" s="152" t="s">
        <v>1570</v>
      </c>
      <c r="I23" s="152">
        <v>206.27</v>
      </c>
      <c r="J23" s="210"/>
    </row>
    <row r="24" spans="1:10" ht="15" customHeight="1">
      <c r="A24" s="131" t="s">
        <v>176</v>
      </c>
      <c r="B24" s="149">
        <v>10</v>
      </c>
      <c r="C24" s="150">
        <v>497</v>
      </c>
      <c r="D24" s="149">
        <v>0</v>
      </c>
      <c r="E24" s="151">
        <v>0</v>
      </c>
      <c r="F24" s="149">
        <v>10</v>
      </c>
      <c r="G24" s="151">
        <v>497</v>
      </c>
      <c r="H24" s="152">
        <v>61131</v>
      </c>
      <c r="I24" s="152">
        <v>123</v>
      </c>
      <c r="J24" s="210"/>
    </row>
    <row r="25" spans="1:10" ht="15" customHeight="1">
      <c r="A25" s="131" t="s">
        <v>42</v>
      </c>
      <c r="B25" s="149">
        <v>330</v>
      </c>
      <c r="C25" s="150">
        <v>16407</v>
      </c>
      <c r="D25" s="149">
        <v>65</v>
      </c>
      <c r="E25" s="151">
        <v>3244.4</v>
      </c>
      <c r="F25" s="149">
        <v>395</v>
      </c>
      <c r="G25" s="151">
        <v>19651.4</v>
      </c>
      <c r="H25" s="152" t="s">
        <v>1571</v>
      </c>
      <c r="I25" s="152">
        <v>198.58</v>
      </c>
      <c r="J25" s="210"/>
    </row>
    <row r="26" spans="1:10" ht="15" customHeight="1">
      <c r="A26" s="131" t="s">
        <v>178</v>
      </c>
      <c r="B26" s="149">
        <v>105</v>
      </c>
      <c r="C26" s="150">
        <v>5236.5</v>
      </c>
      <c r="D26" s="149">
        <v>0</v>
      </c>
      <c r="E26" s="151">
        <v>0</v>
      </c>
      <c r="F26" s="149">
        <v>105</v>
      </c>
      <c r="G26" s="151">
        <v>5236.5</v>
      </c>
      <c r="H26" s="152" t="s">
        <v>1572</v>
      </c>
      <c r="I26" s="152">
        <v>138.42</v>
      </c>
      <c r="J26" s="210"/>
    </row>
    <row r="27" spans="1:10" ht="15" customHeight="1">
      <c r="A27" s="131" t="s">
        <v>43</v>
      </c>
      <c r="B27" s="149">
        <v>575</v>
      </c>
      <c r="C27" s="150">
        <v>28685</v>
      </c>
      <c r="D27" s="149">
        <v>35</v>
      </c>
      <c r="E27" s="151">
        <v>1747.1</v>
      </c>
      <c r="F27" s="149">
        <v>610</v>
      </c>
      <c r="G27" s="151">
        <v>30432.1</v>
      </c>
      <c r="H27" s="152" t="s">
        <v>1573</v>
      </c>
      <c r="I27" s="152">
        <v>208.27</v>
      </c>
      <c r="J27" s="210"/>
    </row>
    <row r="28" spans="1:10" ht="15" customHeight="1">
      <c r="A28" s="131" t="s">
        <v>45</v>
      </c>
      <c r="B28" s="149">
        <v>10</v>
      </c>
      <c r="C28" s="150">
        <v>497</v>
      </c>
      <c r="D28" s="149">
        <v>25</v>
      </c>
      <c r="E28" s="151">
        <v>1247.6</v>
      </c>
      <c r="F28" s="149">
        <v>35</v>
      </c>
      <c r="G28" s="151">
        <v>1744.6</v>
      </c>
      <c r="H28" s="152" t="s">
        <v>1574</v>
      </c>
      <c r="I28" s="152">
        <v>172.6</v>
      </c>
      <c r="J28" s="210"/>
    </row>
    <row r="29" spans="1:10" ht="15" customHeight="1">
      <c r="A29" s="131" t="s">
        <v>67</v>
      </c>
      <c r="B29" s="149">
        <v>10</v>
      </c>
      <c r="C29" s="150">
        <v>500</v>
      </c>
      <c r="D29" s="149">
        <v>0</v>
      </c>
      <c r="E29" s="151">
        <v>0</v>
      </c>
      <c r="F29" s="149">
        <v>10</v>
      </c>
      <c r="G29" s="151">
        <v>500</v>
      </c>
      <c r="H29" s="152">
        <v>95000</v>
      </c>
      <c r="I29" s="152">
        <v>190</v>
      </c>
      <c r="J29" s="210"/>
    </row>
    <row r="30" spans="1:10" ht="15" customHeight="1">
      <c r="A30" s="131" t="s">
        <v>687</v>
      </c>
      <c r="B30" s="149">
        <f>27+47</f>
        <v>74</v>
      </c>
      <c r="C30" s="150">
        <f>1345.5+2345.5</f>
        <v>3691</v>
      </c>
      <c r="D30" s="149">
        <v>0</v>
      </c>
      <c r="E30" s="151">
        <v>0</v>
      </c>
      <c r="F30" s="149">
        <f>27+47</f>
        <v>74</v>
      </c>
      <c r="G30" s="151">
        <f>1345.5+2345.5</f>
        <v>3691</v>
      </c>
      <c r="H30" s="152">
        <f>243095.5+660879.5</f>
        <v>903975</v>
      </c>
      <c r="I30" s="152">
        <f>H30/G30</f>
        <v>244.9133026280141</v>
      </c>
      <c r="J30" s="210"/>
    </row>
    <row r="31" spans="1:10" ht="15" customHeight="1">
      <c r="A31" s="131" t="s">
        <v>55</v>
      </c>
      <c r="B31" s="149">
        <v>50</v>
      </c>
      <c r="C31" s="150">
        <v>2493.5</v>
      </c>
      <c r="D31" s="149">
        <v>0</v>
      </c>
      <c r="E31" s="151">
        <v>0</v>
      </c>
      <c r="F31" s="149">
        <v>50</v>
      </c>
      <c r="G31" s="151">
        <v>2493.5</v>
      </c>
      <c r="H31" s="152" t="s">
        <v>1575</v>
      </c>
      <c r="I31" s="152">
        <v>179.84</v>
      </c>
      <c r="J31" s="210"/>
    </row>
    <row r="32" spans="1:10" ht="15" customHeight="1">
      <c r="A32" s="131" t="s">
        <v>400</v>
      </c>
      <c r="B32" s="746"/>
      <c r="C32" s="150">
        <v>0</v>
      </c>
      <c r="D32" s="149">
        <f>37+190</f>
        <v>227</v>
      </c>
      <c r="E32" s="151">
        <f>1845.5+9484</f>
        <v>11329.5</v>
      </c>
      <c r="F32" s="149">
        <f>37+190</f>
        <v>227</v>
      </c>
      <c r="G32" s="151">
        <f>1845.5+9484</f>
        <v>11329.5</v>
      </c>
      <c r="H32" s="152">
        <f>370532+1623500.4</f>
        <v>1994032.4</v>
      </c>
      <c r="I32" s="152">
        <f>H32/G32</f>
        <v>176.00356591199963</v>
      </c>
      <c r="J32" s="210"/>
    </row>
    <row r="33" spans="1:10" ht="15" customHeight="1">
      <c r="A33" s="131" t="s">
        <v>403</v>
      </c>
      <c r="B33" s="149">
        <v>155</v>
      </c>
      <c r="C33" s="150">
        <v>7727.5</v>
      </c>
      <c r="D33" s="149">
        <v>0</v>
      </c>
      <c r="E33" s="151">
        <v>0</v>
      </c>
      <c r="F33" s="149">
        <v>155</v>
      </c>
      <c r="G33" s="151">
        <v>7727.5</v>
      </c>
      <c r="H33" s="152" t="s">
        <v>1576</v>
      </c>
      <c r="I33" s="152">
        <v>142.55</v>
      </c>
      <c r="J33" s="210"/>
    </row>
    <row r="34" spans="1:10" ht="15" customHeight="1">
      <c r="A34" s="131" t="s">
        <v>230</v>
      </c>
      <c r="B34" s="149">
        <v>112</v>
      </c>
      <c r="C34" s="150">
        <v>5591</v>
      </c>
      <c r="D34" s="149">
        <v>0</v>
      </c>
      <c r="E34" s="151">
        <v>0</v>
      </c>
      <c r="F34" s="149">
        <v>112</v>
      </c>
      <c r="G34" s="151">
        <v>5591</v>
      </c>
      <c r="H34" s="152" t="s">
        <v>1577</v>
      </c>
      <c r="I34" s="152">
        <v>179.26</v>
      </c>
      <c r="J34" s="210"/>
    </row>
    <row r="35" spans="1:10" ht="15" customHeight="1">
      <c r="A35" s="131" t="s">
        <v>46</v>
      </c>
      <c r="B35" s="149">
        <v>370</v>
      </c>
      <c r="C35" s="150">
        <v>18455</v>
      </c>
      <c r="D35" s="149">
        <v>70</v>
      </c>
      <c r="E35" s="151">
        <v>3493.7</v>
      </c>
      <c r="F35" s="149">
        <v>440</v>
      </c>
      <c r="G35" s="151">
        <v>21948.7</v>
      </c>
      <c r="H35" s="152" t="s">
        <v>1578</v>
      </c>
      <c r="I35" s="152">
        <v>187.38</v>
      </c>
      <c r="J35" s="210"/>
    </row>
    <row r="36" spans="1:10" ht="15" customHeight="1">
      <c r="A36" s="131" t="s">
        <v>112</v>
      </c>
      <c r="B36" s="149">
        <v>10</v>
      </c>
      <c r="C36" s="150">
        <v>498.5</v>
      </c>
      <c r="D36" s="149">
        <v>0</v>
      </c>
      <c r="E36" s="151">
        <v>0</v>
      </c>
      <c r="F36" s="149">
        <v>10</v>
      </c>
      <c r="G36" s="151">
        <v>498.5</v>
      </c>
      <c r="H36" s="152" t="s">
        <v>1579</v>
      </c>
      <c r="I36" s="152">
        <v>296.01</v>
      </c>
      <c r="J36" s="210"/>
    </row>
    <row r="37" spans="1:10" ht="15" customHeight="1">
      <c r="A37" s="131" t="s">
        <v>1580</v>
      </c>
      <c r="B37" s="149">
        <v>150</v>
      </c>
      <c r="C37" s="150">
        <v>7474.5</v>
      </c>
      <c r="D37" s="149">
        <v>0</v>
      </c>
      <c r="E37" s="151">
        <v>0</v>
      </c>
      <c r="F37" s="149">
        <v>150</v>
      </c>
      <c r="G37" s="151">
        <v>7474.5</v>
      </c>
      <c r="H37" s="152" t="s">
        <v>1581</v>
      </c>
      <c r="I37" s="152">
        <v>131.07</v>
      </c>
      <c r="J37" s="210"/>
    </row>
    <row r="38" spans="1:10" ht="15" customHeight="1">
      <c r="A38" s="131" t="s">
        <v>194</v>
      </c>
      <c r="B38" s="149">
        <v>5</v>
      </c>
      <c r="C38" s="150">
        <v>248.5</v>
      </c>
      <c r="D38" s="149">
        <v>10</v>
      </c>
      <c r="E38" s="151">
        <v>499.2</v>
      </c>
      <c r="F38" s="149">
        <v>15</v>
      </c>
      <c r="G38" s="151">
        <v>747.7</v>
      </c>
      <c r="H38" s="152" t="s">
        <v>1582</v>
      </c>
      <c r="I38" s="152">
        <v>176.62</v>
      </c>
      <c r="J38" s="210"/>
    </row>
    <row r="39" spans="1:10" ht="15" customHeight="1">
      <c r="A39" s="131" t="s">
        <v>50</v>
      </c>
      <c r="B39" s="746"/>
      <c r="C39" s="150">
        <v>0</v>
      </c>
      <c r="D39" s="149">
        <v>4</v>
      </c>
      <c r="E39" s="151">
        <v>200</v>
      </c>
      <c r="F39" s="149">
        <v>4</v>
      </c>
      <c r="G39" s="151">
        <v>200</v>
      </c>
      <c r="H39" s="152">
        <v>55400</v>
      </c>
      <c r="I39" s="152">
        <v>277</v>
      </c>
      <c r="J39" s="210"/>
    </row>
    <row r="40" spans="1:10" ht="15" customHeight="1">
      <c r="A40" s="131" t="s">
        <v>51</v>
      </c>
      <c r="B40" s="746">
        <v>10</v>
      </c>
      <c r="C40" s="150">
        <v>498.5</v>
      </c>
      <c r="D40" s="149">
        <f>50+10</f>
        <v>60</v>
      </c>
      <c r="E40" s="151">
        <f>2492+499.2</f>
        <v>2991.2</v>
      </c>
      <c r="F40" s="149">
        <f>50+20</f>
        <v>70</v>
      </c>
      <c r="G40" s="151">
        <f>2492+997.7</f>
        <v>3489.7</v>
      </c>
      <c r="H40" s="152">
        <f>465505.6+197537.6</f>
        <v>663043.2</v>
      </c>
      <c r="I40" s="152">
        <f>H40/G40</f>
        <v>190.00005731151674</v>
      </c>
      <c r="J40" s="210"/>
    </row>
    <row r="41" spans="1:10" ht="15" customHeight="1">
      <c r="A41" s="131" t="s">
        <v>281</v>
      </c>
      <c r="B41" s="149">
        <v>16</v>
      </c>
      <c r="C41" s="150">
        <v>800</v>
      </c>
      <c r="D41" s="149">
        <v>0</v>
      </c>
      <c r="E41" s="151">
        <v>0</v>
      </c>
      <c r="F41" s="149">
        <v>16</v>
      </c>
      <c r="G41" s="151">
        <v>800</v>
      </c>
      <c r="H41" s="152" t="s">
        <v>1583</v>
      </c>
      <c r="I41" s="152">
        <v>285</v>
      </c>
      <c r="J41" s="210"/>
    </row>
    <row r="42" spans="1:10" ht="15" customHeight="1">
      <c r="A42" s="131" t="s">
        <v>149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91250</v>
      </c>
      <c r="I42" s="152">
        <v>365</v>
      </c>
      <c r="J42" s="210"/>
    </row>
    <row r="43" spans="1:10" ht="15" customHeight="1">
      <c r="A43" s="131" t="s">
        <v>198</v>
      </c>
      <c r="B43" s="746"/>
      <c r="C43" s="150">
        <v>0</v>
      </c>
      <c r="D43" s="149">
        <v>140</v>
      </c>
      <c r="E43" s="151">
        <v>6988</v>
      </c>
      <c r="F43" s="149">
        <v>140</v>
      </c>
      <c r="G43" s="151">
        <v>6988</v>
      </c>
      <c r="H43" s="152" t="s">
        <v>1584</v>
      </c>
      <c r="I43" s="152">
        <v>202.14</v>
      </c>
      <c r="J43" s="210"/>
    </row>
    <row r="44" spans="1:10" ht="15" customHeight="1">
      <c r="A44" s="131" t="s">
        <v>707</v>
      </c>
      <c r="B44" s="149">
        <v>90</v>
      </c>
      <c r="C44" s="150">
        <v>4485</v>
      </c>
      <c r="D44" s="149">
        <v>0</v>
      </c>
      <c r="E44" s="151">
        <v>0</v>
      </c>
      <c r="F44" s="149">
        <v>90</v>
      </c>
      <c r="G44" s="151">
        <v>4485</v>
      </c>
      <c r="H44" s="152" t="s">
        <v>1585</v>
      </c>
      <c r="I44" s="152">
        <v>171.45</v>
      </c>
      <c r="J44" s="210"/>
    </row>
    <row r="45" spans="1:10" ht="15" customHeight="1">
      <c r="A45" s="131" t="s">
        <v>374</v>
      </c>
      <c r="B45" s="149">
        <v>10</v>
      </c>
      <c r="C45" s="150">
        <v>498.5</v>
      </c>
      <c r="D45" s="149">
        <v>0</v>
      </c>
      <c r="E45" s="151">
        <v>0</v>
      </c>
      <c r="F45" s="149">
        <v>10</v>
      </c>
      <c r="G45" s="151">
        <v>498.5</v>
      </c>
      <c r="H45" s="152" t="s">
        <v>1586</v>
      </c>
      <c r="I45" s="152">
        <v>289</v>
      </c>
      <c r="J45" s="210"/>
    </row>
    <row r="46" spans="1:10" ht="15" customHeight="1">
      <c r="A46" s="131" t="s">
        <v>53</v>
      </c>
      <c r="B46" s="149">
        <f>60+70+22+10+5</f>
        <v>167</v>
      </c>
      <c r="C46" s="150">
        <f>2994+3488+1098+498.5+250</f>
        <v>8328.5</v>
      </c>
      <c r="D46" s="149">
        <v>0</v>
      </c>
      <c r="E46" s="151">
        <v>0</v>
      </c>
      <c r="F46" s="149">
        <f>60+70+22+15</f>
        <v>167</v>
      </c>
      <c r="G46" s="151">
        <f>2994+3488+1098+498.5+250</f>
        <v>8328.5</v>
      </c>
      <c r="H46" s="152">
        <f>594807.5+497323+304449+103688+52500</f>
        <v>1552767.5</v>
      </c>
      <c r="I46" s="152">
        <f>H46/G46</f>
        <v>186.44023533649516</v>
      </c>
      <c r="J46" s="210"/>
    </row>
    <row r="47" spans="1:10" ht="15" customHeight="1">
      <c r="A47" s="131" t="s">
        <v>201</v>
      </c>
      <c r="B47" s="149">
        <v>20</v>
      </c>
      <c r="C47" s="150">
        <v>997</v>
      </c>
      <c r="D47" s="149">
        <v>0</v>
      </c>
      <c r="E47" s="151">
        <v>0</v>
      </c>
      <c r="F47" s="149">
        <v>20</v>
      </c>
      <c r="G47" s="151">
        <v>997</v>
      </c>
      <c r="H47" s="152" t="s">
        <v>1587</v>
      </c>
      <c r="I47" s="152">
        <v>205</v>
      </c>
      <c r="J47" s="210"/>
    </row>
    <row r="48" spans="1:10" ht="15" customHeight="1">
      <c r="A48" s="131" t="s">
        <v>54</v>
      </c>
      <c r="B48" s="149">
        <v>1</v>
      </c>
      <c r="C48" s="150">
        <v>7</v>
      </c>
      <c r="D48" s="149">
        <v>46</v>
      </c>
      <c r="E48" s="151">
        <v>2295.8</v>
      </c>
      <c r="F48" s="149">
        <v>47</v>
      </c>
      <c r="G48" s="151">
        <v>2302.8</v>
      </c>
      <c r="H48" s="152" t="s">
        <v>1588</v>
      </c>
      <c r="I48" s="152">
        <v>236.45</v>
      </c>
      <c r="J48" s="210"/>
    </row>
    <row r="49" spans="1:10" ht="15" customHeight="1">
      <c r="A49" s="131" t="s">
        <v>71</v>
      </c>
      <c r="B49" s="149">
        <v>138</v>
      </c>
      <c r="C49" s="150">
        <v>6882</v>
      </c>
      <c r="D49" s="149">
        <v>80</v>
      </c>
      <c r="E49" s="151">
        <v>3992.8</v>
      </c>
      <c r="F49" s="149">
        <v>218</v>
      </c>
      <c r="G49" s="151">
        <v>10874.8</v>
      </c>
      <c r="H49" s="152" t="s">
        <v>1589</v>
      </c>
      <c r="I49" s="152">
        <v>179.73</v>
      </c>
      <c r="J49" s="210"/>
    </row>
    <row r="50" spans="1:10" ht="15" customHeight="1">
      <c r="A50" s="131" t="s">
        <v>243</v>
      </c>
      <c r="B50" s="149">
        <v>90</v>
      </c>
      <c r="C50" s="150">
        <v>4483.5</v>
      </c>
      <c r="D50" s="149">
        <v>50</v>
      </c>
      <c r="E50" s="151">
        <v>2496</v>
      </c>
      <c r="F50" s="149">
        <v>140</v>
      </c>
      <c r="G50" s="151">
        <v>6979.5</v>
      </c>
      <c r="H50" s="152" t="s">
        <v>1590</v>
      </c>
      <c r="I50" s="152">
        <v>159.89</v>
      </c>
      <c r="J50" s="210"/>
    </row>
    <row r="51" spans="1:10" ht="15" customHeight="1">
      <c r="A51" s="131" t="s">
        <v>379</v>
      </c>
      <c r="B51" s="149">
        <v>180</v>
      </c>
      <c r="C51" s="150">
        <v>8982</v>
      </c>
      <c r="D51" s="149">
        <v>0</v>
      </c>
      <c r="E51" s="151">
        <v>0</v>
      </c>
      <c r="F51" s="149">
        <v>180</v>
      </c>
      <c r="G51" s="151">
        <v>8982</v>
      </c>
      <c r="H51" s="152" t="s">
        <v>1591</v>
      </c>
      <c r="I51" s="152">
        <v>200.61</v>
      </c>
      <c r="J51" s="210"/>
    </row>
    <row r="52" spans="1:10" ht="15" customHeight="1">
      <c r="A52" s="131" t="s">
        <v>288</v>
      </c>
      <c r="B52" s="149">
        <v>11</v>
      </c>
      <c r="C52" s="150">
        <v>549.5</v>
      </c>
      <c r="D52" s="149">
        <v>0</v>
      </c>
      <c r="E52" s="151">
        <v>0</v>
      </c>
      <c r="F52" s="149">
        <v>11</v>
      </c>
      <c r="G52" s="151">
        <v>549.5</v>
      </c>
      <c r="H52" s="152" t="s">
        <v>1592</v>
      </c>
      <c r="I52" s="152">
        <v>295</v>
      </c>
      <c r="J52" s="210"/>
    </row>
    <row r="53" spans="1:10" ht="15" customHeight="1">
      <c r="A53" s="131" t="s">
        <v>57</v>
      </c>
      <c r="B53" s="149">
        <v>25</v>
      </c>
      <c r="C53" s="150">
        <v>1247</v>
      </c>
      <c r="D53" s="149">
        <v>0</v>
      </c>
      <c r="E53" s="151">
        <v>0</v>
      </c>
      <c r="F53" s="149">
        <v>25</v>
      </c>
      <c r="G53" s="151">
        <v>1247</v>
      </c>
      <c r="H53" s="152" t="s">
        <v>1593</v>
      </c>
      <c r="I53" s="152">
        <v>321.39</v>
      </c>
      <c r="J53" s="210"/>
    </row>
    <row r="54" spans="1:10" ht="15" customHeight="1">
      <c r="A54" s="131" t="s">
        <v>19</v>
      </c>
      <c r="B54" s="149">
        <v>3775</v>
      </c>
      <c r="C54" s="152" t="s">
        <v>1594</v>
      </c>
      <c r="D54" s="149">
        <v>835</v>
      </c>
      <c r="E54" s="151">
        <v>41673.2</v>
      </c>
      <c r="F54" s="149">
        <v>4610</v>
      </c>
      <c r="G54" s="151" t="s">
        <v>1595</v>
      </c>
      <c r="H54" s="152" t="s">
        <v>1596</v>
      </c>
      <c r="I54" s="152">
        <v>192.48</v>
      </c>
      <c r="J54" s="210"/>
    </row>
    <row r="55" spans="1:10" ht="15" customHeight="1">
      <c r="A55" s="142" t="s">
        <v>62</v>
      </c>
      <c r="B55" s="388"/>
      <c r="C55" s="388"/>
      <c r="D55" s="388"/>
      <c r="E55" s="388"/>
      <c r="F55" s="388"/>
      <c r="G55" s="388"/>
      <c r="H55" s="388"/>
      <c r="I55" s="388"/>
      <c r="J55" s="210"/>
    </row>
    <row r="56" spans="1:11" ht="15" customHeight="1">
      <c r="A56" s="142" t="s">
        <v>63</v>
      </c>
      <c r="B56" s="388"/>
      <c r="C56" s="399"/>
      <c r="D56" s="143"/>
      <c r="E56" s="399"/>
      <c r="F56" s="143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B57" s="388"/>
      <c r="C57" s="399"/>
      <c r="D57" s="143"/>
      <c r="E57" s="399"/>
      <c r="F57" s="143"/>
      <c r="G57" s="103"/>
      <c r="H57" s="407" t="s">
        <v>66</v>
      </c>
      <c r="I57" s="408"/>
      <c r="J57" s="210"/>
    </row>
    <row r="58" spans="1:10" ht="15" customHeight="1">
      <c r="A58" s="142" t="s">
        <v>158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42" t="s">
        <v>159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203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10" ht="1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309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5" customHeight="1">
      <c r="A74" s="103"/>
      <c r="B74" s="388"/>
      <c r="C74" s="399"/>
      <c r="D74" s="103"/>
      <c r="E74" s="399"/>
      <c r="F74" s="103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B21" sqref="B2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1558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0</v>
      </c>
      <c r="D11" s="725">
        <v>0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0</v>
      </c>
      <c r="D14" s="725">
        <v>0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998.5</v>
      </c>
      <c r="D17" s="725">
        <v>205</v>
      </c>
      <c r="E17" s="419">
        <v>407769.6000000001</v>
      </c>
      <c r="F17" s="725">
        <v>194.5264605306525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0</v>
      </c>
      <c r="D21" s="725">
        <v>0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3994</v>
      </c>
      <c r="D22" s="725">
        <v>283</v>
      </c>
      <c r="E22" s="419">
        <v>495409.3</v>
      </c>
      <c r="F22" s="725">
        <v>294.41509131944036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0</v>
      </c>
      <c r="D24" s="725">
        <v>0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998.5</v>
      </c>
      <c r="D26" s="725">
        <v>202</v>
      </c>
      <c r="E26" s="419">
        <v>91562.2</v>
      </c>
      <c r="F26" s="725">
        <v>187.14688921847662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0</v>
      </c>
      <c r="D28" s="725">
        <v>0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998.5</v>
      </c>
      <c r="D29" s="725">
        <v>202</v>
      </c>
      <c r="E29" s="419">
        <v>123511.29999999997</v>
      </c>
      <c r="F29" s="725">
        <v>197.90341936324856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998.5</v>
      </c>
      <c r="D32" s="725">
        <v>206</v>
      </c>
      <c r="E32" s="419">
        <v>671259.5000000001</v>
      </c>
      <c r="F32" s="725">
        <v>194.8286580674091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5992.5</v>
      </c>
      <c r="D33" s="725">
        <v>231.41468502294535</v>
      </c>
      <c r="E33" s="419">
        <v>388946.7</v>
      </c>
      <c r="F33" s="725">
        <v>225.38752841970378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0</v>
      </c>
      <c r="D34" s="725">
        <v>0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0</v>
      </c>
      <c r="D35" s="725">
        <v>0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0</v>
      </c>
      <c r="D39" s="725">
        <v>0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0</v>
      </c>
      <c r="D44" s="725">
        <v>0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498.5</v>
      </c>
      <c r="D45" s="726">
        <v>194</v>
      </c>
      <c r="E45" s="431">
        <v>61064.6</v>
      </c>
      <c r="F45" s="726">
        <v>195.23359687937037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1997</v>
      </c>
      <c r="D46" s="725">
        <v>187.5</v>
      </c>
      <c r="E46" s="419">
        <v>729119.1</v>
      </c>
      <c r="F46" s="725">
        <v>193.35051612281177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0</v>
      </c>
      <c r="D48" s="725">
        <v>0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0</v>
      </c>
      <c r="D49" s="725">
        <v>0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2497</v>
      </c>
      <c r="D50" s="725">
        <v>219.200240288346</v>
      </c>
      <c r="E50" s="419">
        <v>820139.4999999999</v>
      </c>
      <c r="F50" s="725">
        <v>200.7240904748522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0</v>
      </c>
      <c r="D51" s="725">
        <v>0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18973</v>
      </c>
      <c r="D54" s="729">
        <v>229.23741632846676</v>
      </c>
      <c r="E54" s="673">
        <v>5904393.700000002</v>
      </c>
      <c r="F54" s="738">
        <v>193.2880584843114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18973</v>
      </c>
      <c r="D61" s="729">
        <v>229.23741632846676</v>
      </c>
      <c r="E61" s="694">
        <v>5904651.700000002</v>
      </c>
      <c r="F61" s="741">
        <v>193.3187362770271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1558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8.467899977910636E-05</v>
      </c>
      <c r="I65" s="682"/>
    </row>
    <row r="66" spans="1:8" ht="13.5" customHeight="1">
      <c r="A66" s="665" t="s">
        <v>665</v>
      </c>
      <c r="B66" s="677">
        <v>380</v>
      </c>
      <c r="C66" s="670">
        <v>18973</v>
      </c>
      <c r="D66" s="736">
        <v>229.23741632846676</v>
      </c>
      <c r="E66" s="677">
        <v>118400</v>
      </c>
      <c r="F66" s="670">
        <v>5904151.7</v>
      </c>
      <c r="G66" s="686">
        <v>193.31817046638557</v>
      </c>
      <c r="H66" s="714">
        <f>F66/F67</f>
        <v>0.9999153210002208</v>
      </c>
    </row>
    <row r="67" spans="1:8" ht="13.5" customHeight="1">
      <c r="A67" s="715" t="s">
        <v>666</v>
      </c>
      <c r="B67" s="716">
        <v>380</v>
      </c>
      <c r="C67" s="717">
        <v>18973</v>
      </c>
      <c r="D67" s="737">
        <v>229.23741632846676</v>
      </c>
      <c r="E67" s="716">
        <v>118410</v>
      </c>
      <c r="F67" s="717">
        <v>5904651.7</v>
      </c>
      <c r="G67" s="718">
        <v>193.31873627702717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29" sqref="E29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1137" t="s">
        <v>8</v>
      </c>
      <c r="B4" s="1137"/>
      <c r="C4" s="610"/>
      <c r="D4" s="610"/>
      <c r="E4" s="610"/>
      <c r="F4" s="610"/>
      <c r="G4" s="623"/>
      <c r="H4" s="18"/>
    </row>
    <row r="5" spans="1:8" ht="15" customHeight="1">
      <c r="A5" s="1137" t="s">
        <v>9</v>
      </c>
      <c r="B5" s="1137"/>
      <c r="C5" s="1137"/>
      <c r="D5" s="613"/>
      <c r="E5" s="610"/>
      <c r="F5" s="610"/>
      <c r="G5" s="623"/>
      <c r="H5" s="18"/>
    </row>
    <row r="6" spans="1:8" ht="15" customHeight="1">
      <c r="A6" s="1137" t="s">
        <v>10</v>
      </c>
      <c r="B6" s="1137"/>
      <c r="C6" s="1137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1559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380</v>
      </c>
      <c r="D12" s="631">
        <v>18973</v>
      </c>
      <c r="E12" s="632">
        <v>4349321.5</v>
      </c>
      <c r="F12" s="633">
        <f>E12/D12</f>
        <v>229.23741632846676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0</v>
      </c>
      <c r="D13" s="635">
        <v>0</v>
      </c>
      <c r="E13" s="636"/>
      <c r="F13" s="633" t="e">
        <f>E13/D13</f>
        <v>#DIV/0!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380</v>
      </c>
      <c r="D14" s="638">
        <f>D12+D13</f>
        <v>18973</v>
      </c>
      <c r="E14" s="639">
        <f>E12+E13</f>
        <v>4349321.5</v>
      </c>
      <c r="F14" s="640">
        <f>E14/D14</f>
        <v>229.23741632846676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/>
      <c r="D16" s="631"/>
      <c r="E16" s="632"/>
      <c r="F16" s="633" t="e">
        <f>E16/D16</f>
        <v>#DIV/0!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0</v>
      </c>
      <c r="D17" s="638">
        <f>SUM(D16)</f>
        <v>0</v>
      </c>
      <c r="E17" s="641">
        <f>SUM(E16)</f>
        <v>0</v>
      </c>
      <c r="F17" s="642" t="e">
        <f>E17/D17</f>
        <v>#DIV/0!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380</v>
      </c>
      <c r="D18" s="643">
        <f>D17+D14</f>
        <v>18973</v>
      </c>
      <c r="E18" s="644">
        <f>E17+E14</f>
        <v>4349321.5</v>
      </c>
      <c r="F18" s="642">
        <f>E18/D18</f>
        <v>229.23741632846676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380</v>
      </c>
      <c r="D31" s="638">
        <f>D30+D14+D17+D23</f>
        <v>18973</v>
      </c>
      <c r="E31" s="641">
        <f>E14+E17+E23+E28+E29</f>
        <v>4349321.5</v>
      </c>
      <c r="F31" s="640">
        <f>E31/D31</f>
        <v>229.23741632846676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sale31(Sreemongal)'!C63</f>
        <v>Sale No. 16 (Sreemongal)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380</v>
      </c>
      <c r="D36" s="619">
        <v>18973</v>
      </c>
      <c r="E36" s="620">
        <v>229.24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380</v>
      </c>
      <c r="D37" s="622">
        <f>D36+D35</f>
        <v>18973</v>
      </c>
      <c r="E37" s="620">
        <f>F31</f>
        <v>229.23741632846676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25" sqref="C25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1543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1544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308">
        <v>85</v>
      </c>
      <c r="C15" s="150">
        <v>4245.5</v>
      </c>
      <c r="D15" s="308">
        <v>0</v>
      </c>
      <c r="E15" s="743">
        <v>0</v>
      </c>
      <c r="F15" s="308">
        <v>85</v>
      </c>
      <c r="G15" s="151">
        <v>4245.5</v>
      </c>
      <c r="H15" s="152" t="s">
        <v>1545</v>
      </c>
      <c r="I15" s="152">
        <v>226.62</v>
      </c>
      <c r="J15" s="210"/>
    </row>
    <row r="16" spans="1:10" ht="15" customHeight="1">
      <c r="A16" s="131" t="s">
        <v>134</v>
      </c>
      <c r="B16" s="308">
        <v>10</v>
      </c>
      <c r="C16" s="150">
        <v>500</v>
      </c>
      <c r="D16" s="308">
        <v>0</v>
      </c>
      <c r="E16" s="743">
        <v>0</v>
      </c>
      <c r="F16" s="308">
        <v>10</v>
      </c>
      <c r="G16" s="151">
        <v>500</v>
      </c>
      <c r="H16" s="152" t="s">
        <v>1546</v>
      </c>
      <c r="I16" s="152">
        <v>238</v>
      </c>
      <c r="J16" s="210"/>
    </row>
    <row r="17" spans="1:10" ht="15" customHeight="1">
      <c r="A17" s="131" t="s">
        <v>40</v>
      </c>
      <c r="B17" s="308">
        <v>20</v>
      </c>
      <c r="C17" s="150">
        <v>997</v>
      </c>
      <c r="D17" s="308">
        <v>0</v>
      </c>
      <c r="E17" s="743">
        <v>0</v>
      </c>
      <c r="F17" s="308">
        <v>20</v>
      </c>
      <c r="G17" s="151">
        <v>997</v>
      </c>
      <c r="H17" s="152" t="s">
        <v>1547</v>
      </c>
      <c r="I17" s="152">
        <v>261.5</v>
      </c>
      <c r="J17" s="210"/>
    </row>
    <row r="18" spans="1:10" ht="15" customHeight="1">
      <c r="A18" s="131" t="s">
        <v>41</v>
      </c>
      <c r="B18" s="308">
        <v>60</v>
      </c>
      <c r="C18" s="150">
        <v>2994</v>
      </c>
      <c r="D18" s="308">
        <v>0</v>
      </c>
      <c r="E18" s="743">
        <v>0</v>
      </c>
      <c r="F18" s="308">
        <v>60</v>
      </c>
      <c r="G18" s="151">
        <v>2994</v>
      </c>
      <c r="H18" s="152" t="s">
        <v>1548</v>
      </c>
      <c r="I18" s="152">
        <v>251.83</v>
      </c>
      <c r="J18" s="210"/>
    </row>
    <row r="19" spans="1:10" ht="15" customHeight="1">
      <c r="A19" s="131" t="s">
        <v>43</v>
      </c>
      <c r="B19" s="308">
        <v>155</v>
      </c>
      <c r="C19" s="150">
        <v>7741</v>
      </c>
      <c r="D19" s="308">
        <v>0</v>
      </c>
      <c r="E19" s="743">
        <v>0</v>
      </c>
      <c r="F19" s="308">
        <v>155</v>
      </c>
      <c r="G19" s="151">
        <v>7741</v>
      </c>
      <c r="H19" s="152" t="s">
        <v>1549</v>
      </c>
      <c r="I19" s="152">
        <v>215.03</v>
      </c>
      <c r="J19" s="210"/>
    </row>
    <row r="20" spans="1:10" ht="15" customHeight="1">
      <c r="A20" s="131" t="s">
        <v>46</v>
      </c>
      <c r="B20" s="308">
        <v>10</v>
      </c>
      <c r="C20" s="150">
        <v>498.5</v>
      </c>
      <c r="D20" s="308">
        <v>0</v>
      </c>
      <c r="E20" s="743">
        <v>0</v>
      </c>
      <c r="F20" s="308">
        <v>10</v>
      </c>
      <c r="G20" s="151">
        <v>498.5</v>
      </c>
      <c r="H20" s="152">
        <v>93219.5</v>
      </c>
      <c r="I20" s="152">
        <v>187</v>
      </c>
      <c r="J20" s="210"/>
    </row>
    <row r="21" spans="1:10" ht="15" customHeight="1">
      <c r="A21" s="131" t="s">
        <v>68</v>
      </c>
      <c r="B21" s="308">
        <v>10</v>
      </c>
      <c r="C21" s="150">
        <v>498.5</v>
      </c>
      <c r="D21" s="308">
        <v>0</v>
      </c>
      <c r="E21" s="743">
        <v>0</v>
      </c>
      <c r="F21" s="308">
        <v>10</v>
      </c>
      <c r="G21" s="151">
        <v>498.5</v>
      </c>
      <c r="H21" s="152" t="s">
        <v>147</v>
      </c>
      <c r="I21" s="152">
        <v>218</v>
      </c>
      <c r="J21" s="210"/>
    </row>
    <row r="22" spans="1:10" ht="15" customHeight="1">
      <c r="A22" s="131" t="s">
        <v>149</v>
      </c>
      <c r="B22" s="308">
        <v>10</v>
      </c>
      <c r="C22" s="150">
        <v>500</v>
      </c>
      <c r="D22" s="308">
        <v>0</v>
      </c>
      <c r="E22" s="743">
        <v>0</v>
      </c>
      <c r="F22" s="308">
        <v>10</v>
      </c>
      <c r="G22" s="151">
        <v>500</v>
      </c>
      <c r="H22" s="152" t="s">
        <v>1550</v>
      </c>
      <c r="I22" s="152">
        <v>235</v>
      </c>
      <c r="J22" s="210"/>
    </row>
    <row r="23" spans="1:10" ht="15" customHeight="1">
      <c r="A23" s="131" t="s">
        <v>53</v>
      </c>
      <c r="B23" s="308">
        <v>20</v>
      </c>
      <c r="C23" s="150">
        <v>998.5</v>
      </c>
      <c r="D23" s="308">
        <v>0</v>
      </c>
      <c r="E23" s="743">
        <v>0</v>
      </c>
      <c r="F23" s="308">
        <v>20</v>
      </c>
      <c r="G23" s="151">
        <v>998.5</v>
      </c>
      <c r="H23" s="152" t="s">
        <v>1551</v>
      </c>
      <c r="I23" s="152">
        <v>270</v>
      </c>
      <c r="J23" s="210"/>
    </row>
    <row r="24" spans="1:10" ht="15" customHeight="1">
      <c r="A24" s="131" t="s">
        <v>19</v>
      </c>
      <c r="B24" s="308">
        <v>380</v>
      </c>
      <c r="C24" s="150">
        <v>18973</v>
      </c>
      <c r="D24" s="308">
        <v>0</v>
      </c>
      <c r="E24" s="743">
        <v>0</v>
      </c>
      <c r="F24" s="308">
        <v>380</v>
      </c>
      <c r="G24" s="151">
        <v>18973</v>
      </c>
      <c r="H24" s="152" t="s">
        <v>1552</v>
      </c>
      <c r="I24" s="152">
        <v>229.24</v>
      </c>
      <c r="J24" s="210"/>
    </row>
    <row r="25" spans="1:10" ht="15" customHeight="1">
      <c r="A25" s="131"/>
      <c r="B25" s="306"/>
      <c r="C25" s="307"/>
      <c r="D25" s="308"/>
      <c r="E25" s="307"/>
      <c r="F25" s="306"/>
      <c r="G25" s="307"/>
      <c r="H25" s="152"/>
      <c r="I25" s="153"/>
      <c r="J25" s="210"/>
    </row>
    <row r="26" spans="1:10" ht="15" customHeight="1">
      <c r="A26" s="142" t="s">
        <v>62</v>
      </c>
      <c r="B26" s="388"/>
      <c r="C26" s="388"/>
      <c r="D26" s="388"/>
      <c r="E26" s="388"/>
      <c r="F26" s="388"/>
      <c r="G26" s="388"/>
      <c r="H26" s="388"/>
      <c r="I26" s="388"/>
      <c r="J26" s="210"/>
    </row>
    <row r="27" spans="1:11" ht="1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K27" s="232"/>
    </row>
    <row r="28" spans="1:10" ht="1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10" ht="15" customHeight="1">
      <c r="A33" s="103"/>
      <c r="B33" s="388"/>
      <c r="C33" s="399"/>
      <c r="D33" s="103"/>
      <c r="E33" s="399"/>
      <c r="F33" s="103"/>
      <c r="G33" s="399"/>
      <c r="H33" s="391"/>
      <c r="I33" s="391"/>
      <c r="J33" s="309"/>
    </row>
    <row r="34" spans="1:10" ht="15" customHeight="1">
      <c r="A34" s="103"/>
      <c r="B34" s="388"/>
      <c r="C34" s="399"/>
      <c r="D34" s="103"/>
      <c r="E34" s="399"/>
      <c r="F34" s="103"/>
      <c r="G34" s="399"/>
      <c r="H34" s="391"/>
      <c r="I34" s="391"/>
      <c r="J34" s="309"/>
    </row>
    <row r="35" spans="1:9" ht="1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A30" sqref="A30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1554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994</v>
      </c>
      <c r="D10" s="725">
        <v>120.5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18193.9</v>
      </c>
      <c r="D11" s="725">
        <v>150.50300925035313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6478.9</v>
      </c>
      <c r="D14" s="725">
        <v>216.0452700304064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498.5</v>
      </c>
      <c r="D15" s="725">
        <v>200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16724.9</v>
      </c>
      <c r="D17" s="725">
        <v>210.4030517372301</v>
      </c>
      <c r="E17" s="419">
        <v>406771.1000000001</v>
      </c>
      <c r="F17" s="725">
        <v>194.5007511595587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7977.3</v>
      </c>
      <c r="D21" s="725">
        <v>208.12604515312196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17468.5</v>
      </c>
      <c r="D22" s="725">
        <v>284.71525889458167</v>
      </c>
      <c r="E22" s="419">
        <v>491415.3</v>
      </c>
      <c r="F22" s="725">
        <v>294.50786798864425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9910.7</v>
      </c>
      <c r="D24" s="725">
        <v>201.04433591976348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7983.5</v>
      </c>
      <c r="D26" s="725">
        <v>189.01559466399448</v>
      </c>
      <c r="E26" s="419">
        <v>90563.7</v>
      </c>
      <c r="F26" s="725">
        <v>186.9831278978222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8978.1</v>
      </c>
      <c r="D28" s="725">
        <v>182.51330459674094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2495.3</v>
      </c>
      <c r="D29" s="725">
        <v>200.2077505710736</v>
      </c>
      <c r="E29" s="419">
        <v>122512.79999999997</v>
      </c>
      <c r="F29" s="725">
        <v>197.8700315395616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24961.5</v>
      </c>
      <c r="D32" s="725">
        <v>212.57946838130724</v>
      </c>
      <c r="E32" s="419">
        <v>670261.0000000001</v>
      </c>
      <c r="F32" s="725">
        <v>194.81201591618785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382954.2</v>
      </c>
      <c r="F33" s="725">
        <v>225.29321495886455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2742</v>
      </c>
      <c r="D34" s="725">
        <v>121.72738876732312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15474.1</v>
      </c>
      <c r="D35" s="725">
        <v>149.96610465228994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5486.5</v>
      </c>
      <c r="D39" s="725">
        <v>134.90914061788024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4473</v>
      </c>
      <c r="D40" s="725">
        <v>189.22222222222223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1993.6</v>
      </c>
      <c r="D44" s="725">
        <v>134.25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7470.9</v>
      </c>
      <c r="D45" s="726">
        <v>190.07814319559893</v>
      </c>
      <c r="E45" s="431">
        <v>60566.1</v>
      </c>
      <c r="F45" s="726">
        <v>195.2437502167054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33949.6</v>
      </c>
      <c r="D46" s="725">
        <v>192.35281122605275</v>
      </c>
      <c r="E46" s="419">
        <v>727122.1</v>
      </c>
      <c r="F46" s="725">
        <v>193.36658423667774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15470.1</v>
      </c>
      <c r="D48" s="725">
        <v>129.35606751087582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12725.5</v>
      </c>
      <c r="D49" s="725">
        <v>146.94349927311305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22461.6</v>
      </c>
      <c r="D50" s="725">
        <v>217.6028822523774</v>
      </c>
      <c r="E50" s="419">
        <v>817642.4999999999</v>
      </c>
      <c r="F50" s="725">
        <v>200.66766612547664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13454</v>
      </c>
      <c r="D51" s="725">
        <v>136.26382488479263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1495.5</v>
      </c>
      <c r="D52" s="727">
        <v>127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1994</v>
      </c>
      <c r="D53" s="728">
        <v>122.5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261855.50000000003</v>
      </c>
      <c r="D54" s="729">
        <v>186.90255388945425</v>
      </c>
      <c r="E54" s="673">
        <v>5885420.700000002</v>
      </c>
      <c r="F54" s="738">
        <v>193.17216750537472</v>
      </c>
      <c r="G54" s="434"/>
      <c r="H54" s="430"/>
      <c r="I54" s="668"/>
    </row>
    <row r="55" spans="1:9" ht="13.5" customHeight="1">
      <c r="A55" s="415"/>
      <c r="B55" s="426"/>
      <c r="C55" s="419">
        <f>SUM(C10:C53)-C54</f>
        <v>0</v>
      </c>
      <c r="D55" s="725"/>
      <c r="E55" s="419">
        <f>SUM(E10:E53)-E54</f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17</v>
      </c>
      <c r="D59" s="731">
        <v>1500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17</v>
      </c>
      <c r="D60" s="729">
        <v>1500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261872.50000000003</v>
      </c>
      <c r="D61" s="729">
        <v>186.98779635127778</v>
      </c>
      <c r="E61" s="694">
        <v>5885678.700000002</v>
      </c>
      <c r="F61" s="741">
        <v>193.20294927074423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1554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8.495196994018719E-05</v>
      </c>
      <c r="I65" s="682"/>
    </row>
    <row r="66" spans="1:8" ht="13.5" customHeight="1">
      <c r="A66" s="665" t="s">
        <v>665</v>
      </c>
      <c r="B66" s="677">
        <v>5252</v>
      </c>
      <c r="C66" s="670">
        <v>261872.5</v>
      </c>
      <c r="D66" s="736">
        <v>186.98779635127784</v>
      </c>
      <c r="E66" s="677">
        <v>118020</v>
      </c>
      <c r="F66" s="670">
        <v>5885178.7</v>
      </c>
      <c r="G66" s="686">
        <v>193.20237179883767</v>
      </c>
      <c r="H66" s="714">
        <f>F66/F67</f>
        <v>0.9999150480300598</v>
      </c>
    </row>
    <row r="67" spans="1:8" ht="13.5" customHeight="1">
      <c r="A67" s="715" t="s">
        <v>666</v>
      </c>
      <c r="B67" s="716">
        <v>5252</v>
      </c>
      <c r="C67" s="717">
        <v>261872.5</v>
      </c>
      <c r="D67" s="737">
        <v>186.98779635127784</v>
      </c>
      <c r="E67" s="716">
        <v>118030</v>
      </c>
      <c r="F67" s="717">
        <v>5885678.7</v>
      </c>
      <c r="G67" s="718">
        <v>193.20294927074428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1137" t="s">
        <v>8</v>
      </c>
      <c r="B4" s="1137"/>
      <c r="C4" s="610"/>
      <c r="D4" s="610"/>
      <c r="E4" s="610"/>
      <c r="F4" s="610"/>
      <c r="G4" s="623"/>
      <c r="H4" s="18"/>
    </row>
    <row r="5" spans="1:8" ht="15" customHeight="1">
      <c r="A5" s="1137" t="s">
        <v>9</v>
      </c>
      <c r="B5" s="1137"/>
      <c r="C5" s="1137"/>
      <c r="D5" s="613"/>
      <c r="E5" s="610"/>
      <c r="F5" s="610"/>
      <c r="G5" s="623"/>
      <c r="H5" s="18"/>
    </row>
    <row r="6" spans="1:8" ht="15" customHeight="1">
      <c r="A6" s="1137" t="s">
        <v>10</v>
      </c>
      <c r="B6" s="1137"/>
      <c r="C6" s="1137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1557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4200</v>
      </c>
      <c r="D12" s="631">
        <v>209451</v>
      </c>
      <c r="E12" s="632">
        <v>38344692</v>
      </c>
      <c r="F12" s="633">
        <f>E12/D12</f>
        <v>183.07237492301303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1050</v>
      </c>
      <c r="D13" s="635">
        <v>52404.5</v>
      </c>
      <c r="E13" s="636">
        <v>10596769.7</v>
      </c>
      <c r="F13" s="633">
        <f>E13/D13</f>
        <v>202.21106393534905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5250</v>
      </c>
      <c r="D14" s="638">
        <f>D12+D13</f>
        <v>261855.5</v>
      </c>
      <c r="E14" s="639">
        <f>E12+E13</f>
        <v>48941461.7</v>
      </c>
      <c r="F14" s="640">
        <f>E14/D14</f>
        <v>186.9025538894543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>
        <v>2</v>
      </c>
      <c r="D16" s="631">
        <v>17</v>
      </c>
      <c r="E16" s="632">
        <v>25500</v>
      </c>
      <c r="F16" s="633">
        <f>E16/D16</f>
        <v>1500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2</v>
      </c>
      <c r="D17" s="638">
        <f>SUM(D16)</f>
        <v>17</v>
      </c>
      <c r="E17" s="641">
        <f>SUM(E16)</f>
        <v>25500</v>
      </c>
      <c r="F17" s="642">
        <f>E17/D17</f>
        <v>1500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5252</v>
      </c>
      <c r="D18" s="643">
        <f>D17+D14</f>
        <v>261872.5</v>
      </c>
      <c r="E18" s="644">
        <f>E17+E14</f>
        <v>48966961.7</v>
      </c>
      <c r="F18" s="642">
        <f>E18/D18</f>
        <v>186.98779635127784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5252</v>
      </c>
      <c r="D31" s="638">
        <f>D30+D14+D17+D23</f>
        <v>261872.5</v>
      </c>
      <c r="E31" s="641">
        <f>E14+E17+E23+E28+E29</f>
        <v>48966961.7</v>
      </c>
      <c r="F31" s="640">
        <f>E31/D31</f>
        <v>186.98779635127784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sale31'!C63</f>
        <v>Sale No. 31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5252</v>
      </c>
      <c r="D36" s="619">
        <v>261872.5</v>
      </c>
      <c r="E36" s="620">
        <v>186.99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5252</v>
      </c>
      <c r="D37" s="622">
        <f>D36+D35</f>
        <v>261872.5</v>
      </c>
      <c r="E37" s="620">
        <f>F31</f>
        <v>186.98779635127784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1507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1509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1510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742">
        <v>1100</v>
      </c>
      <c r="C15" s="307">
        <v>54890.5</v>
      </c>
      <c r="D15" s="742">
        <v>15</v>
      </c>
      <c r="E15" s="307">
        <v>748.4</v>
      </c>
      <c r="F15" s="742">
        <v>1115</v>
      </c>
      <c r="G15" s="307">
        <v>55638.9</v>
      </c>
      <c r="H15" s="152" t="s">
        <v>1511</v>
      </c>
      <c r="I15" s="152">
        <v>189.67</v>
      </c>
      <c r="J15" s="210"/>
    </row>
    <row r="16" spans="1:10" ht="15" customHeight="1">
      <c r="A16" s="131" t="s">
        <v>132</v>
      </c>
      <c r="B16" s="742">
        <v>40</v>
      </c>
      <c r="C16" s="307">
        <v>1995.5</v>
      </c>
      <c r="D16" s="742">
        <v>0</v>
      </c>
      <c r="E16" s="307">
        <v>0</v>
      </c>
      <c r="F16" s="742">
        <v>40</v>
      </c>
      <c r="G16" s="307">
        <v>1995.5</v>
      </c>
      <c r="H16" s="152" t="s">
        <v>1512</v>
      </c>
      <c r="I16" s="152">
        <v>198.06</v>
      </c>
      <c r="J16" s="210"/>
    </row>
    <row r="17" spans="1:10" ht="15" customHeight="1">
      <c r="A17" s="131" t="s">
        <v>1284</v>
      </c>
      <c r="B17" s="742">
        <v>20</v>
      </c>
      <c r="C17" s="307">
        <v>998.5</v>
      </c>
      <c r="D17" s="742">
        <v>0</v>
      </c>
      <c r="E17" s="307">
        <v>0</v>
      </c>
      <c r="F17" s="742">
        <v>20</v>
      </c>
      <c r="G17" s="307">
        <v>998.5</v>
      </c>
      <c r="H17" s="152" t="s">
        <v>1513</v>
      </c>
      <c r="I17" s="152">
        <v>292.5</v>
      </c>
      <c r="J17" s="210"/>
    </row>
    <row r="18" spans="1:10" ht="15" customHeight="1">
      <c r="A18" s="131" t="s">
        <v>213</v>
      </c>
      <c r="B18" s="742">
        <v>185</v>
      </c>
      <c r="C18" s="307">
        <v>9219.5</v>
      </c>
      <c r="D18" s="742">
        <v>0</v>
      </c>
      <c r="E18" s="307">
        <v>0</v>
      </c>
      <c r="F18" s="742">
        <v>185</v>
      </c>
      <c r="G18" s="307">
        <v>9219.5</v>
      </c>
      <c r="H18" s="152" t="s">
        <v>1514</v>
      </c>
      <c r="I18" s="152">
        <v>153.32</v>
      </c>
      <c r="J18" s="210"/>
    </row>
    <row r="19" spans="1:10" ht="15" customHeight="1">
      <c r="A19" s="131" t="s">
        <v>38</v>
      </c>
      <c r="B19" s="742">
        <v>20</v>
      </c>
      <c r="C19" s="307">
        <v>997</v>
      </c>
      <c r="D19" s="742">
        <v>0</v>
      </c>
      <c r="E19" s="307">
        <v>0</v>
      </c>
      <c r="F19" s="742">
        <v>20</v>
      </c>
      <c r="G19" s="307">
        <v>997</v>
      </c>
      <c r="H19" s="152" t="s">
        <v>679</v>
      </c>
      <c r="I19" s="152">
        <v>134</v>
      </c>
      <c r="J19" s="210"/>
    </row>
    <row r="20" spans="1:10" ht="15" customHeight="1">
      <c r="A20" s="131" t="s">
        <v>170</v>
      </c>
      <c r="B20" s="742">
        <v>40</v>
      </c>
      <c r="C20" s="307">
        <v>1994</v>
      </c>
      <c r="D20" s="742">
        <v>70</v>
      </c>
      <c r="E20" s="307">
        <v>3494.4</v>
      </c>
      <c r="F20" s="742">
        <v>110</v>
      </c>
      <c r="G20" s="307">
        <v>5488.4</v>
      </c>
      <c r="H20" s="152" t="s">
        <v>1515</v>
      </c>
      <c r="I20" s="152">
        <v>183.56</v>
      </c>
      <c r="J20" s="210"/>
    </row>
    <row r="21" spans="1:10" ht="15" customHeight="1">
      <c r="A21" s="131" t="s">
        <v>40</v>
      </c>
      <c r="B21" s="742">
        <v>20</v>
      </c>
      <c r="C21" s="307">
        <v>995.5</v>
      </c>
      <c r="D21" s="742">
        <v>0</v>
      </c>
      <c r="E21" s="307">
        <v>0</v>
      </c>
      <c r="F21" s="742">
        <v>20</v>
      </c>
      <c r="G21" s="307">
        <v>995.5</v>
      </c>
      <c r="H21" s="152" t="s">
        <v>1516</v>
      </c>
      <c r="I21" s="152">
        <v>215.61</v>
      </c>
      <c r="J21" s="210"/>
    </row>
    <row r="22" spans="1:10" ht="15" customHeight="1">
      <c r="A22" s="131" t="s">
        <v>41</v>
      </c>
      <c r="B22" s="742">
        <v>101</v>
      </c>
      <c r="C22" s="307">
        <v>4995</v>
      </c>
      <c r="D22" s="742">
        <v>0</v>
      </c>
      <c r="E22" s="307">
        <v>0</v>
      </c>
      <c r="F22" s="742">
        <v>101</v>
      </c>
      <c r="G22" s="307">
        <v>4995</v>
      </c>
      <c r="H22" s="152" t="s">
        <v>1517</v>
      </c>
      <c r="I22" s="152">
        <v>229.57</v>
      </c>
      <c r="J22" s="210"/>
    </row>
    <row r="23" spans="1:10" ht="15" customHeight="1">
      <c r="A23" s="131" t="s">
        <v>42</v>
      </c>
      <c r="B23" s="742">
        <v>140</v>
      </c>
      <c r="C23" s="307">
        <v>6942</v>
      </c>
      <c r="D23" s="742">
        <v>110</v>
      </c>
      <c r="E23" s="307">
        <v>5490.7</v>
      </c>
      <c r="F23" s="742">
        <v>250</v>
      </c>
      <c r="G23" s="307">
        <v>12432.7</v>
      </c>
      <c r="H23" s="152" t="s">
        <v>1518</v>
      </c>
      <c r="I23" s="152">
        <v>189.47</v>
      </c>
      <c r="J23" s="210"/>
    </row>
    <row r="24" spans="1:10" ht="15" customHeight="1">
      <c r="A24" s="131" t="s">
        <v>178</v>
      </c>
      <c r="B24" s="742">
        <v>40</v>
      </c>
      <c r="C24" s="307">
        <v>1994</v>
      </c>
      <c r="D24" s="742">
        <v>20</v>
      </c>
      <c r="E24" s="307">
        <v>996.8</v>
      </c>
      <c r="F24" s="742">
        <v>60</v>
      </c>
      <c r="G24" s="307">
        <v>2990.8</v>
      </c>
      <c r="H24" s="152" t="s">
        <v>1519</v>
      </c>
      <c r="I24" s="152">
        <v>150.91</v>
      </c>
      <c r="J24" s="210"/>
    </row>
    <row r="25" spans="1:10" ht="15" customHeight="1">
      <c r="A25" s="131" t="s">
        <v>43</v>
      </c>
      <c r="B25" s="742">
        <v>550</v>
      </c>
      <c r="C25" s="307">
        <v>27430</v>
      </c>
      <c r="D25" s="742">
        <v>210</v>
      </c>
      <c r="E25" s="307">
        <v>10482.8</v>
      </c>
      <c r="F25" s="742">
        <v>760</v>
      </c>
      <c r="G25" s="307">
        <v>37912.8</v>
      </c>
      <c r="H25" s="152" t="s">
        <v>1520</v>
      </c>
      <c r="I25" s="152">
        <v>203.25</v>
      </c>
      <c r="J25" s="210"/>
    </row>
    <row r="26" spans="1:10" ht="15" customHeight="1">
      <c r="A26" s="131" t="s">
        <v>45</v>
      </c>
      <c r="B26" s="742">
        <v>10</v>
      </c>
      <c r="C26" s="307">
        <v>498.5</v>
      </c>
      <c r="D26" s="742">
        <v>15</v>
      </c>
      <c r="E26" s="307">
        <v>748.4</v>
      </c>
      <c r="F26" s="742">
        <v>25</v>
      </c>
      <c r="G26" s="307">
        <v>1246.9</v>
      </c>
      <c r="H26" s="152" t="s">
        <v>1521</v>
      </c>
      <c r="I26" s="152">
        <v>245.18</v>
      </c>
      <c r="J26" s="210"/>
    </row>
    <row r="27" spans="1:10" ht="15" customHeight="1">
      <c r="A27" s="131" t="s">
        <v>67</v>
      </c>
      <c r="B27" s="742">
        <v>40</v>
      </c>
      <c r="C27" s="307">
        <v>1997</v>
      </c>
      <c r="D27" s="742">
        <v>0</v>
      </c>
      <c r="E27" s="307">
        <v>0</v>
      </c>
      <c r="F27" s="742">
        <v>40</v>
      </c>
      <c r="G27" s="307">
        <v>1997</v>
      </c>
      <c r="H27" s="152" t="s">
        <v>1522</v>
      </c>
      <c r="I27" s="152">
        <v>216.75</v>
      </c>
      <c r="J27" s="210"/>
    </row>
    <row r="28" spans="1:10" ht="15" customHeight="1">
      <c r="A28" s="131" t="s">
        <v>183</v>
      </c>
      <c r="B28" s="742">
        <v>60</v>
      </c>
      <c r="C28" s="307">
        <v>2989.5</v>
      </c>
      <c r="D28" s="742">
        <v>0</v>
      </c>
      <c r="E28" s="307">
        <v>0</v>
      </c>
      <c r="F28" s="742">
        <v>60</v>
      </c>
      <c r="G28" s="307">
        <v>2989.5</v>
      </c>
      <c r="H28" s="152" t="s">
        <v>1523</v>
      </c>
      <c r="I28" s="152">
        <v>203.95</v>
      </c>
      <c r="J28" s="210"/>
    </row>
    <row r="29" spans="1:10" ht="15" customHeight="1">
      <c r="A29" s="131" t="s">
        <v>55</v>
      </c>
      <c r="B29" s="742">
        <v>140</v>
      </c>
      <c r="C29" s="307">
        <v>6980</v>
      </c>
      <c r="D29" s="742">
        <v>49</v>
      </c>
      <c r="E29" s="307">
        <v>2444.3</v>
      </c>
      <c r="F29" s="742">
        <v>189</v>
      </c>
      <c r="G29" s="307">
        <v>9424.3</v>
      </c>
      <c r="H29" s="152" t="s">
        <v>1524</v>
      </c>
      <c r="I29" s="152">
        <v>177.93</v>
      </c>
      <c r="J29" s="210"/>
    </row>
    <row r="30" spans="1:10" ht="15" customHeight="1">
      <c r="A30" s="131" t="s">
        <v>1525</v>
      </c>
      <c r="B30" s="742">
        <v>30</v>
      </c>
      <c r="C30" s="307">
        <v>1495.5</v>
      </c>
      <c r="D30" s="742">
        <v>0</v>
      </c>
      <c r="E30" s="307">
        <v>0</v>
      </c>
      <c r="F30" s="742">
        <v>30</v>
      </c>
      <c r="G30" s="307">
        <v>1495.5</v>
      </c>
      <c r="H30" s="152" t="s">
        <v>1526</v>
      </c>
      <c r="I30" s="152">
        <v>123.67</v>
      </c>
      <c r="J30" s="210"/>
    </row>
    <row r="31" spans="1:10" ht="15" customHeight="1">
      <c r="A31" s="131" t="s">
        <v>400</v>
      </c>
      <c r="B31" s="745"/>
      <c r="C31" s="307">
        <v>0</v>
      </c>
      <c r="D31" s="742">
        <v>95</v>
      </c>
      <c r="E31" s="307">
        <v>4741.4</v>
      </c>
      <c r="F31" s="742">
        <v>95</v>
      </c>
      <c r="G31" s="307">
        <v>4741.4</v>
      </c>
      <c r="H31" s="152">
        <v>804041.7999999999</v>
      </c>
      <c r="I31" s="152">
        <v>169.57898510988315</v>
      </c>
      <c r="J31" s="210"/>
    </row>
    <row r="32" spans="1:10" ht="15" customHeight="1">
      <c r="A32" s="131" t="s">
        <v>403</v>
      </c>
      <c r="B32" s="742">
        <v>20</v>
      </c>
      <c r="C32" s="307">
        <v>997</v>
      </c>
      <c r="D32" s="742">
        <v>0</v>
      </c>
      <c r="E32" s="307">
        <v>0</v>
      </c>
      <c r="F32" s="742">
        <v>20</v>
      </c>
      <c r="G32" s="307">
        <v>997</v>
      </c>
      <c r="H32" s="152" t="s">
        <v>135</v>
      </c>
      <c r="I32" s="152">
        <v>146.5</v>
      </c>
      <c r="J32" s="210"/>
    </row>
    <row r="33" spans="1:10" ht="15" customHeight="1">
      <c r="A33" s="131" t="s">
        <v>230</v>
      </c>
      <c r="B33" s="742">
        <v>20</v>
      </c>
      <c r="C33" s="307">
        <v>998.5</v>
      </c>
      <c r="D33" s="742">
        <v>0</v>
      </c>
      <c r="E33" s="307">
        <v>0</v>
      </c>
      <c r="F33" s="742">
        <v>20</v>
      </c>
      <c r="G33" s="307">
        <v>998.5</v>
      </c>
      <c r="H33" s="152" t="s">
        <v>1527</v>
      </c>
      <c r="I33" s="152">
        <v>298.99</v>
      </c>
      <c r="J33" s="210"/>
    </row>
    <row r="34" spans="1:10" ht="15" customHeight="1">
      <c r="A34" s="131" t="s">
        <v>46</v>
      </c>
      <c r="B34" s="742">
        <v>515</v>
      </c>
      <c r="C34" s="307">
        <v>25684</v>
      </c>
      <c r="D34" s="742">
        <v>20</v>
      </c>
      <c r="E34" s="307">
        <v>998.4</v>
      </c>
      <c r="F34" s="742">
        <v>535</v>
      </c>
      <c r="G34" s="307">
        <v>26682.4</v>
      </c>
      <c r="H34" s="152" t="s">
        <v>1528</v>
      </c>
      <c r="I34" s="152">
        <v>180.2</v>
      </c>
      <c r="J34" s="210"/>
    </row>
    <row r="35" spans="1:10" ht="15" customHeight="1">
      <c r="A35" s="131" t="s">
        <v>47</v>
      </c>
      <c r="B35" s="742">
        <v>10</v>
      </c>
      <c r="C35" s="307">
        <v>500</v>
      </c>
      <c r="D35" s="742">
        <v>0</v>
      </c>
      <c r="E35" s="307">
        <v>0</v>
      </c>
      <c r="F35" s="742">
        <v>10</v>
      </c>
      <c r="G35" s="307">
        <v>500</v>
      </c>
      <c r="H35" s="152">
        <v>67000</v>
      </c>
      <c r="I35" s="152">
        <v>134</v>
      </c>
      <c r="J35" s="210"/>
    </row>
    <row r="36" spans="1:10" ht="15" customHeight="1">
      <c r="A36" s="131" t="s">
        <v>194</v>
      </c>
      <c r="B36" s="745"/>
      <c r="C36" s="307">
        <v>0</v>
      </c>
      <c r="D36" s="742">
        <v>85</v>
      </c>
      <c r="E36" s="307">
        <v>4241</v>
      </c>
      <c r="F36" s="742">
        <v>85</v>
      </c>
      <c r="G36" s="307">
        <v>4241</v>
      </c>
      <c r="H36" s="152" t="s">
        <v>1529</v>
      </c>
      <c r="I36" s="152">
        <v>211.3</v>
      </c>
      <c r="J36" s="210"/>
    </row>
    <row r="37" spans="1:10" ht="15" customHeight="1">
      <c r="A37" s="131" t="s">
        <v>50</v>
      </c>
      <c r="B37" s="742">
        <v>20</v>
      </c>
      <c r="C37" s="307">
        <v>998.5</v>
      </c>
      <c r="D37" s="742">
        <v>15</v>
      </c>
      <c r="E37" s="307">
        <v>748.2</v>
      </c>
      <c r="F37" s="742">
        <v>35</v>
      </c>
      <c r="G37" s="307">
        <v>1746.7</v>
      </c>
      <c r="H37" s="152" t="s">
        <v>1530</v>
      </c>
      <c r="I37" s="152">
        <v>198.82</v>
      </c>
      <c r="J37" s="210"/>
    </row>
    <row r="38" spans="1:10" ht="15" customHeight="1">
      <c r="A38" s="131" t="s">
        <v>70</v>
      </c>
      <c r="B38" s="742">
        <v>10</v>
      </c>
      <c r="C38" s="307">
        <v>500</v>
      </c>
      <c r="D38" s="742">
        <v>0</v>
      </c>
      <c r="E38" s="307">
        <v>0</v>
      </c>
      <c r="F38" s="742">
        <v>10</v>
      </c>
      <c r="G38" s="307">
        <v>500</v>
      </c>
      <c r="H38" s="152" t="s">
        <v>701</v>
      </c>
      <c r="I38" s="152">
        <v>303</v>
      </c>
      <c r="J38" s="210"/>
    </row>
    <row r="39" spans="1:10" ht="15" customHeight="1">
      <c r="A39" s="131" t="s">
        <v>51</v>
      </c>
      <c r="B39" s="745"/>
      <c r="C39" s="307">
        <v>0</v>
      </c>
      <c r="D39" s="742">
        <v>16</v>
      </c>
      <c r="E39" s="307">
        <v>798.2</v>
      </c>
      <c r="F39" s="742">
        <v>16</v>
      </c>
      <c r="G39" s="307">
        <v>798.2</v>
      </c>
      <c r="H39" s="152" t="s">
        <v>1531</v>
      </c>
      <c r="I39" s="152">
        <v>216.27</v>
      </c>
      <c r="J39" s="210"/>
    </row>
    <row r="40" spans="1:10" ht="15" customHeight="1">
      <c r="A40" s="131" t="s">
        <v>1401</v>
      </c>
      <c r="B40" s="742">
        <v>1</v>
      </c>
      <c r="C40" s="307">
        <v>10</v>
      </c>
      <c r="D40" s="742">
        <v>0</v>
      </c>
      <c r="E40" s="307">
        <v>0</v>
      </c>
      <c r="F40" s="742">
        <v>1</v>
      </c>
      <c r="G40" s="307">
        <v>10</v>
      </c>
      <c r="H40" s="152">
        <v>15000</v>
      </c>
      <c r="I40" s="152">
        <v>1500</v>
      </c>
      <c r="J40" s="210"/>
    </row>
    <row r="41" spans="1:10" ht="15" customHeight="1">
      <c r="A41" s="131" t="s">
        <v>1021</v>
      </c>
      <c r="B41" s="745"/>
      <c r="C41" s="307">
        <v>0</v>
      </c>
      <c r="D41" s="742">
        <v>10</v>
      </c>
      <c r="E41" s="307">
        <v>499.2</v>
      </c>
      <c r="F41" s="742">
        <v>10</v>
      </c>
      <c r="G41" s="307">
        <v>499.2</v>
      </c>
      <c r="H41" s="152">
        <v>66892.8</v>
      </c>
      <c r="I41" s="152">
        <v>134</v>
      </c>
      <c r="J41" s="210"/>
    </row>
    <row r="42" spans="1:10" ht="15" customHeight="1">
      <c r="A42" s="131" t="s">
        <v>198</v>
      </c>
      <c r="B42" s="742">
        <v>350</v>
      </c>
      <c r="C42" s="307">
        <v>17459.5</v>
      </c>
      <c r="D42" s="742">
        <v>100</v>
      </c>
      <c r="E42" s="307">
        <v>4992</v>
      </c>
      <c r="F42" s="742">
        <v>450</v>
      </c>
      <c r="G42" s="307">
        <v>22451.5</v>
      </c>
      <c r="H42" s="152" t="s">
        <v>1532</v>
      </c>
      <c r="I42" s="152">
        <v>162.26</v>
      </c>
      <c r="J42" s="210"/>
    </row>
    <row r="43" spans="1:10" ht="15" customHeight="1">
      <c r="A43" s="131" t="s">
        <v>707</v>
      </c>
      <c r="B43" s="742">
        <v>20</v>
      </c>
      <c r="C43" s="307">
        <v>998.5</v>
      </c>
      <c r="D43" s="742">
        <v>0</v>
      </c>
      <c r="E43" s="307">
        <v>0</v>
      </c>
      <c r="F43" s="742">
        <v>20</v>
      </c>
      <c r="G43" s="307">
        <v>998.5</v>
      </c>
      <c r="H43" s="152" t="s">
        <v>1533</v>
      </c>
      <c r="I43" s="152">
        <v>135.5</v>
      </c>
      <c r="J43" s="210"/>
    </row>
    <row r="44" spans="1:10" ht="15" customHeight="1">
      <c r="A44" s="131" t="s">
        <v>374</v>
      </c>
      <c r="B44" s="742">
        <v>10</v>
      </c>
      <c r="C44" s="307">
        <v>498.5</v>
      </c>
      <c r="D44" s="742">
        <v>0</v>
      </c>
      <c r="E44" s="307">
        <v>0</v>
      </c>
      <c r="F44" s="742">
        <v>10</v>
      </c>
      <c r="G44" s="307">
        <v>498.5</v>
      </c>
      <c r="H44" s="152">
        <v>63309.5</v>
      </c>
      <c r="I44" s="152">
        <v>127</v>
      </c>
      <c r="J44" s="210"/>
    </row>
    <row r="45" spans="1:10" ht="15" customHeight="1">
      <c r="A45" s="131" t="s">
        <v>53</v>
      </c>
      <c r="B45" s="742">
        <v>110</v>
      </c>
      <c r="C45" s="307">
        <v>5488</v>
      </c>
      <c r="D45" s="742">
        <v>40</v>
      </c>
      <c r="E45" s="307">
        <v>1996</v>
      </c>
      <c r="F45" s="742">
        <v>150</v>
      </c>
      <c r="G45" s="307">
        <v>7484</v>
      </c>
      <c r="H45" s="152">
        <v>1139046.2</v>
      </c>
      <c r="I45" s="152">
        <v>152.19751469802245</v>
      </c>
      <c r="J45" s="210"/>
    </row>
    <row r="46" spans="1:10" ht="15" customHeight="1">
      <c r="A46" s="131" t="s">
        <v>201</v>
      </c>
      <c r="B46" s="742">
        <v>100</v>
      </c>
      <c r="C46" s="307">
        <v>4985</v>
      </c>
      <c r="D46" s="742">
        <v>0</v>
      </c>
      <c r="E46" s="307">
        <v>0</v>
      </c>
      <c r="F46" s="742">
        <v>100</v>
      </c>
      <c r="G46" s="307">
        <v>4985</v>
      </c>
      <c r="H46" s="152" t="s">
        <v>1534</v>
      </c>
      <c r="I46" s="152">
        <v>195.62</v>
      </c>
      <c r="J46" s="210"/>
    </row>
    <row r="47" spans="1:10" ht="15" customHeight="1">
      <c r="A47" s="131" t="s">
        <v>54</v>
      </c>
      <c r="B47" s="745"/>
      <c r="C47" s="307">
        <v>0</v>
      </c>
      <c r="D47" s="742">
        <v>35</v>
      </c>
      <c r="E47" s="307">
        <v>1746.8</v>
      </c>
      <c r="F47" s="742">
        <v>35</v>
      </c>
      <c r="G47" s="307">
        <v>1746.8</v>
      </c>
      <c r="H47" s="152" t="s">
        <v>1535</v>
      </c>
      <c r="I47" s="152">
        <v>216.43</v>
      </c>
      <c r="J47" s="210"/>
    </row>
    <row r="48" spans="1:10" ht="15" customHeight="1">
      <c r="A48" s="131" t="s">
        <v>71</v>
      </c>
      <c r="B48" s="742">
        <v>40</v>
      </c>
      <c r="C48" s="307">
        <v>1997</v>
      </c>
      <c r="D48" s="742">
        <v>45</v>
      </c>
      <c r="E48" s="307">
        <v>2246.3</v>
      </c>
      <c r="F48" s="742">
        <v>85</v>
      </c>
      <c r="G48" s="307">
        <v>4243.3</v>
      </c>
      <c r="H48" s="152" t="s">
        <v>1536</v>
      </c>
      <c r="I48" s="152">
        <v>154.36</v>
      </c>
      <c r="J48" s="210"/>
    </row>
    <row r="49" spans="1:10" ht="15" customHeight="1">
      <c r="A49" s="131" t="s">
        <v>243</v>
      </c>
      <c r="B49" s="742">
        <v>180</v>
      </c>
      <c r="C49" s="307">
        <v>8974.5</v>
      </c>
      <c r="D49" s="742">
        <v>100</v>
      </c>
      <c r="E49" s="307">
        <v>4991.2</v>
      </c>
      <c r="F49" s="742">
        <v>280</v>
      </c>
      <c r="G49" s="307">
        <v>13965.7</v>
      </c>
      <c r="H49" s="152" t="s">
        <v>1537</v>
      </c>
      <c r="I49" s="152">
        <v>184.12</v>
      </c>
      <c r="J49" s="210"/>
    </row>
    <row r="50" spans="1:10" ht="15" customHeight="1">
      <c r="A50" s="131" t="s">
        <v>379</v>
      </c>
      <c r="B50" s="742">
        <v>250</v>
      </c>
      <c r="C50" s="307">
        <v>12467</v>
      </c>
      <c r="D50" s="742">
        <v>0</v>
      </c>
      <c r="E50" s="307">
        <v>0</v>
      </c>
      <c r="F50" s="742">
        <v>250</v>
      </c>
      <c r="G50" s="307">
        <v>12467</v>
      </c>
      <c r="H50" s="152" t="s">
        <v>1538</v>
      </c>
      <c r="I50" s="152">
        <v>208.84</v>
      </c>
      <c r="J50" s="210"/>
    </row>
    <row r="51" spans="1:10" ht="15" customHeight="1">
      <c r="A51" s="131" t="s">
        <v>288</v>
      </c>
      <c r="B51" s="742">
        <v>10</v>
      </c>
      <c r="C51" s="307">
        <v>500</v>
      </c>
      <c r="D51" s="742">
        <v>0</v>
      </c>
      <c r="E51" s="307">
        <v>0</v>
      </c>
      <c r="F51" s="742">
        <v>10</v>
      </c>
      <c r="G51" s="307">
        <v>500</v>
      </c>
      <c r="H51" s="152" t="s">
        <v>1539</v>
      </c>
      <c r="I51" s="152">
        <v>302</v>
      </c>
      <c r="J51" s="210"/>
    </row>
    <row r="52" spans="1:10" ht="15" customHeight="1">
      <c r="A52" s="131" t="s">
        <v>19</v>
      </c>
      <c r="B52" s="742">
        <v>4202</v>
      </c>
      <c r="C52" s="307" t="s">
        <v>1540</v>
      </c>
      <c r="D52" s="742">
        <v>1050</v>
      </c>
      <c r="E52" s="307">
        <v>52404.5</v>
      </c>
      <c r="F52" s="742">
        <v>5252</v>
      </c>
      <c r="G52" s="307" t="s">
        <v>1541</v>
      </c>
      <c r="H52" s="152" t="s">
        <v>1542</v>
      </c>
      <c r="I52" s="152">
        <v>186.99</v>
      </c>
      <c r="J52" s="210"/>
    </row>
    <row r="53" spans="1:10" ht="15" customHeight="1">
      <c r="A53" s="131"/>
      <c r="B53" s="306"/>
      <c r="C53" s="307"/>
      <c r="D53" s="308"/>
      <c r="E53" s="307"/>
      <c r="F53" s="306"/>
      <c r="G53" s="307"/>
      <c r="H53" s="152"/>
      <c r="I53" s="153"/>
      <c r="J53" s="210"/>
    </row>
    <row r="54" spans="1:10" ht="15" customHeight="1">
      <c r="A54" s="142" t="s">
        <v>62</v>
      </c>
      <c r="B54" s="388"/>
      <c r="C54" s="388"/>
      <c r="D54" s="388"/>
      <c r="E54" s="388"/>
      <c r="F54" s="388"/>
      <c r="G54" s="388"/>
      <c r="H54" s="388"/>
      <c r="I54" s="388"/>
      <c r="J54" s="210"/>
    </row>
    <row r="55" spans="1:11" ht="1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K55" s="232"/>
    </row>
    <row r="56" spans="1:10" ht="15" customHeight="1">
      <c r="A56" s="142" t="s">
        <v>157</v>
      </c>
      <c r="B56" s="388"/>
      <c r="C56" s="399"/>
      <c r="D56" s="143"/>
      <c r="E56" s="399"/>
      <c r="F56" s="143"/>
      <c r="G56" s="103"/>
      <c r="H56" s="407" t="s">
        <v>66</v>
      </c>
      <c r="I56" s="408"/>
      <c r="J56" s="210"/>
    </row>
    <row r="57" spans="1:10" ht="1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1481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1482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1483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1484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220</v>
      </c>
      <c r="C15" s="407">
        <v>10985</v>
      </c>
      <c r="D15" s="441">
        <v>8</v>
      </c>
      <c r="E15" s="442">
        <v>399</v>
      </c>
      <c r="F15" s="441">
        <v>228</v>
      </c>
      <c r="G15" s="407">
        <v>11384</v>
      </c>
      <c r="H15" s="369" t="s">
        <v>1485</v>
      </c>
      <c r="I15" s="392">
        <v>218.98</v>
      </c>
      <c r="J15" s="210"/>
    </row>
    <row r="16" spans="1:10" ht="15" customHeight="1">
      <c r="A16" s="135" t="s">
        <v>132</v>
      </c>
      <c r="B16" s="440">
        <v>10</v>
      </c>
      <c r="C16" s="407">
        <v>500</v>
      </c>
      <c r="D16" s="441">
        <v>0</v>
      </c>
      <c r="E16" s="442">
        <v>0</v>
      </c>
      <c r="F16" s="441">
        <v>10</v>
      </c>
      <c r="G16" s="407">
        <v>500</v>
      </c>
      <c r="H16" s="369" t="s">
        <v>725</v>
      </c>
      <c r="I16" s="392">
        <v>305</v>
      </c>
      <c r="J16" s="210"/>
    </row>
    <row r="17" spans="1:10" ht="15" customHeight="1">
      <c r="A17" s="135" t="s">
        <v>1284</v>
      </c>
      <c r="B17" s="440">
        <v>10</v>
      </c>
      <c r="C17" s="407">
        <v>500</v>
      </c>
      <c r="D17" s="441">
        <v>0</v>
      </c>
      <c r="E17" s="442">
        <v>0</v>
      </c>
      <c r="F17" s="441">
        <v>10</v>
      </c>
      <c r="G17" s="407">
        <v>500</v>
      </c>
      <c r="H17" s="369" t="s">
        <v>1486</v>
      </c>
      <c r="I17" s="392">
        <v>285</v>
      </c>
      <c r="J17" s="210"/>
    </row>
    <row r="18" spans="1:10" ht="15" customHeight="1">
      <c r="A18" s="135" t="s">
        <v>213</v>
      </c>
      <c r="B18" s="440">
        <v>40</v>
      </c>
      <c r="C18" s="407">
        <v>1994</v>
      </c>
      <c r="D18" s="441">
        <v>0</v>
      </c>
      <c r="E18" s="442">
        <v>0</v>
      </c>
      <c r="F18" s="441">
        <v>40</v>
      </c>
      <c r="G18" s="407">
        <v>1994</v>
      </c>
      <c r="H18" s="369" t="s">
        <v>1487</v>
      </c>
      <c r="I18" s="392">
        <v>131.75</v>
      </c>
      <c r="J18" s="210"/>
    </row>
    <row r="19" spans="1:10" ht="15" customHeight="1">
      <c r="A19" s="135" t="s">
        <v>586</v>
      </c>
      <c r="B19" s="440"/>
      <c r="C19" s="407">
        <v>0</v>
      </c>
      <c r="D19" s="441">
        <v>10</v>
      </c>
      <c r="E19" s="442">
        <v>499.2</v>
      </c>
      <c r="F19" s="441">
        <v>10</v>
      </c>
      <c r="G19" s="407">
        <v>499.2</v>
      </c>
      <c r="H19" s="369">
        <v>86361.6</v>
      </c>
      <c r="I19" s="392">
        <v>173</v>
      </c>
      <c r="J19" s="210"/>
    </row>
    <row r="20" spans="1:10" ht="15" customHeight="1">
      <c r="A20" s="135" t="s">
        <v>40</v>
      </c>
      <c r="B20" s="440">
        <v>20</v>
      </c>
      <c r="C20" s="407">
        <v>998.5</v>
      </c>
      <c r="D20" s="441">
        <v>0</v>
      </c>
      <c r="E20" s="442">
        <v>0</v>
      </c>
      <c r="F20" s="441">
        <v>20</v>
      </c>
      <c r="G20" s="407">
        <v>998.5</v>
      </c>
      <c r="H20" s="369" t="s">
        <v>1488</v>
      </c>
      <c r="I20" s="392">
        <v>300</v>
      </c>
      <c r="J20" s="210"/>
    </row>
    <row r="21" spans="1:10" ht="15" customHeight="1">
      <c r="A21" s="135" t="s">
        <v>41</v>
      </c>
      <c r="B21" s="440">
        <v>20</v>
      </c>
      <c r="C21" s="407">
        <v>997</v>
      </c>
      <c r="D21" s="441">
        <v>0</v>
      </c>
      <c r="E21" s="442">
        <v>0</v>
      </c>
      <c r="F21" s="441">
        <v>20</v>
      </c>
      <c r="G21" s="407">
        <v>997</v>
      </c>
      <c r="H21" s="369" t="s">
        <v>1489</v>
      </c>
      <c r="I21" s="392">
        <v>269.5</v>
      </c>
      <c r="J21" s="210"/>
    </row>
    <row r="22" spans="1:10" ht="15" customHeight="1">
      <c r="A22" s="135" t="s">
        <v>174</v>
      </c>
      <c r="B22" s="440">
        <v>20</v>
      </c>
      <c r="C22" s="407">
        <v>998.5</v>
      </c>
      <c r="D22" s="441">
        <v>0</v>
      </c>
      <c r="E22" s="442">
        <v>0</v>
      </c>
      <c r="F22" s="441">
        <v>20</v>
      </c>
      <c r="G22" s="407">
        <v>998.5</v>
      </c>
      <c r="H22" s="369" t="s">
        <v>1490</v>
      </c>
      <c r="I22" s="392">
        <v>305</v>
      </c>
      <c r="J22" s="210"/>
    </row>
    <row r="23" spans="1:10" ht="15" customHeight="1">
      <c r="A23" s="135" t="s">
        <v>42</v>
      </c>
      <c r="B23" s="440">
        <v>20</v>
      </c>
      <c r="C23" s="407">
        <v>997</v>
      </c>
      <c r="D23" s="441">
        <v>80</v>
      </c>
      <c r="E23" s="442">
        <v>3993.6</v>
      </c>
      <c r="F23" s="441">
        <v>100</v>
      </c>
      <c r="G23" s="407">
        <v>4990.6</v>
      </c>
      <c r="H23" s="369" t="s">
        <v>1491</v>
      </c>
      <c r="I23" s="392">
        <v>217.2</v>
      </c>
      <c r="J23" s="210"/>
    </row>
    <row r="24" spans="1:10" ht="15" customHeight="1">
      <c r="A24" s="135" t="s">
        <v>178</v>
      </c>
      <c r="B24" s="440">
        <v>10</v>
      </c>
      <c r="C24" s="407">
        <v>498.5</v>
      </c>
      <c r="D24" s="441">
        <v>0</v>
      </c>
      <c r="E24" s="442">
        <v>0</v>
      </c>
      <c r="F24" s="441">
        <v>10</v>
      </c>
      <c r="G24" s="407">
        <v>498.5</v>
      </c>
      <c r="H24" s="369">
        <v>62312.5</v>
      </c>
      <c r="I24" s="392">
        <v>125</v>
      </c>
      <c r="J24" s="210"/>
    </row>
    <row r="25" spans="1:10" ht="15" customHeight="1">
      <c r="A25" s="135" t="s">
        <v>43</v>
      </c>
      <c r="B25" s="440">
        <v>280</v>
      </c>
      <c r="C25" s="407">
        <v>13985</v>
      </c>
      <c r="D25" s="441">
        <v>230</v>
      </c>
      <c r="E25" s="442">
        <v>11483.2</v>
      </c>
      <c r="F25" s="441">
        <v>510</v>
      </c>
      <c r="G25" s="407">
        <v>25468.2</v>
      </c>
      <c r="H25" s="369" t="s">
        <v>1492</v>
      </c>
      <c r="I25" s="392">
        <v>233.31</v>
      </c>
      <c r="J25" s="210"/>
    </row>
    <row r="26" spans="1:10" ht="15" customHeight="1">
      <c r="A26" s="135" t="s">
        <v>45</v>
      </c>
      <c r="B26" s="440">
        <v>35</v>
      </c>
      <c r="C26" s="407">
        <v>1744</v>
      </c>
      <c r="D26" s="441">
        <v>0</v>
      </c>
      <c r="E26" s="442">
        <v>0</v>
      </c>
      <c r="F26" s="441">
        <v>35</v>
      </c>
      <c r="G26" s="407">
        <v>1744</v>
      </c>
      <c r="H26" s="369" t="s">
        <v>1493</v>
      </c>
      <c r="I26" s="392">
        <v>204.25</v>
      </c>
      <c r="J26" s="210"/>
    </row>
    <row r="27" spans="1:10" ht="15" customHeight="1">
      <c r="A27" s="135" t="s">
        <v>67</v>
      </c>
      <c r="B27" s="440">
        <v>60</v>
      </c>
      <c r="C27" s="407">
        <v>2997</v>
      </c>
      <c r="D27" s="441">
        <v>0</v>
      </c>
      <c r="E27" s="442">
        <v>0</v>
      </c>
      <c r="F27" s="441">
        <v>60</v>
      </c>
      <c r="G27" s="407">
        <v>2997</v>
      </c>
      <c r="H27" s="369" t="s">
        <v>1494</v>
      </c>
      <c r="I27" s="392">
        <v>214.67</v>
      </c>
      <c r="J27" s="210"/>
    </row>
    <row r="28" spans="1:10" ht="15" customHeight="1">
      <c r="A28" s="135" t="s">
        <v>183</v>
      </c>
      <c r="B28" s="440">
        <v>65</v>
      </c>
      <c r="C28" s="407">
        <v>3244</v>
      </c>
      <c r="D28" s="441">
        <v>0</v>
      </c>
      <c r="E28" s="442">
        <v>0</v>
      </c>
      <c r="F28" s="441">
        <v>65</v>
      </c>
      <c r="G28" s="407">
        <v>3244</v>
      </c>
      <c r="H28" s="369" t="s">
        <v>1495</v>
      </c>
      <c r="I28" s="392">
        <v>207.75</v>
      </c>
      <c r="J28" s="210"/>
    </row>
    <row r="29" spans="1:10" ht="15" customHeight="1">
      <c r="A29" s="135" t="s">
        <v>400</v>
      </c>
      <c r="B29" s="440"/>
      <c r="C29" s="407">
        <v>0</v>
      </c>
      <c r="D29" s="441">
        <v>20</v>
      </c>
      <c r="E29" s="442">
        <v>998.4</v>
      </c>
      <c r="F29" s="441">
        <v>20</v>
      </c>
      <c r="G29" s="407">
        <v>998.4</v>
      </c>
      <c r="H29" s="369">
        <v>210662.4</v>
      </c>
      <c r="I29" s="392">
        <v>211</v>
      </c>
      <c r="J29" s="210"/>
    </row>
    <row r="30" spans="1:10" ht="15" customHeight="1">
      <c r="A30" s="135" t="s">
        <v>46</v>
      </c>
      <c r="B30" s="440">
        <v>70</v>
      </c>
      <c r="C30" s="407">
        <v>3491</v>
      </c>
      <c r="D30" s="441">
        <v>10</v>
      </c>
      <c r="E30" s="442">
        <v>499.2</v>
      </c>
      <c r="F30" s="441">
        <v>80</v>
      </c>
      <c r="G30" s="407">
        <v>3990.2</v>
      </c>
      <c r="H30" s="369" t="s">
        <v>1496</v>
      </c>
      <c r="I30" s="392">
        <v>194.88</v>
      </c>
      <c r="J30" s="210"/>
    </row>
    <row r="31" spans="1:10" ht="15" customHeight="1">
      <c r="A31" s="135" t="s">
        <v>47</v>
      </c>
      <c r="B31" s="440">
        <v>10</v>
      </c>
      <c r="C31" s="407">
        <v>498.5</v>
      </c>
      <c r="D31" s="441">
        <v>0</v>
      </c>
      <c r="E31" s="442">
        <v>0</v>
      </c>
      <c r="F31" s="441">
        <v>10</v>
      </c>
      <c r="G31" s="407">
        <v>498.5</v>
      </c>
      <c r="H31" s="369">
        <v>62811</v>
      </c>
      <c r="I31" s="392">
        <v>126</v>
      </c>
      <c r="J31" s="210"/>
    </row>
    <row r="32" spans="1:10" ht="15" customHeight="1">
      <c r="A32" s="135" t="s">
        <v>604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587</v>
      </c>
      <c r="I32" s="392">
        <v>319</v>
      </c>
      <c r="J32" s="210"/>
    </row>
    <row r="33" spans="1:10" ht="15" customHeight="1">
      <c r="A33" s="135" t="s">
        <v>112</v>
      </c>
      <c r="B33" s="440">
        <v>10</v>
      </c>
      <c r="C33" s="407">
        <v>498.5</v>
      </c>
      <c r="D33" s="441">
        <v>0</v>
      </c>
      <c r="E33" s="442">
        <v>0</v>
      </c>
      <c r="F33" s="441">
        <v>10</v>
      </c>
      <c r="G33" s="407">
        <v>498.5</v>
      </c>
      <c r="H33" s="369" t="s">
        <v>359</v>
      </c>
      <c r="I33" s="392">
        <v>304</v>
      </c>
      <c r="J33" s="210"/>
    </row>
    <row r="34" spans="1:10" ht="15" customHeight="1">
      <c r="A34" s="135" t="s">
        <v>194</v>
      </c>
      <c r="B34" s="440"/>
      <c r="C34" s="407">
        <v>0</v>
      </c>
      <c r="D34" s="441">
        <v>10</v>
      </c>
      <c r="E34" s="442">
        <v>499.2</v>
      </c>
      <c r="F34" s="441">
        <v>10</v>
      </c>
      <c r="G34" s="407">
        <v>499.2</v>
      </c>
      <c r="H34" s="369" t="s">
        <v>1497</v>
      </c>
      <c r="I34" s="392">
        <v>232</v>
      </c>
      <c r="J34" s="210"/>
    </row>
    <row r="35" spans="1:10" ht="15" customHeight="1">
      <c r="A35" s="135" t="s">
        <v>50</v>
      </c>
      <c r="B35" s="440"/>
      <c r="C35" s="407">
        <v>0</v>
      </c>
      <c r="D35" s="441">
        <v>10</v>
      </c>
      <c r="E35" s="442">
        <v>499.2</v>
      </c>
      <c r="F35" s="441">
        <v>10</v>
      </c>
      <c r="G35" s="407">
        <v>499.2</v>
      </c>
      <c r="H35" s="369" t="s">
        <v>1498</v>
      </c>
      <c r="I35" s="392">
        <v>252</v>
      </c>
      <c r="J35" s="210"/>
    </row>
    <row r="36" spans="1:10" ht="15" customHeight="1">
      <c r="A36" s="135" t="s">
        <v>281</v>
      </c>
      <c r="B36" s="440">
        <v>20</v>
      </c>
      <c r="C36" s="407">
        <v>997</v>
      </c>
      <c r="D36" s="441">
        <v>0</v>
      </c>
      <c r="E36" s="442">
        <v>0</v>
      </c>
      <c r="F36" s="441">
        <v>20</v>
      </c>
      <c r="G36" s="407">
        <v>997</v>
      </c>
      <c r="H36" s="369" t="s">
        <v>1499</v>
      </c>
      <c r="I36" s="392">
        <v>180.5</v>
      </c>
      <c r="J36" s="210"/>
    </row>
    <row r="37" spans="1:10" ht="15" customHeight="1">
      <c r="A37" s="135" t="s">
        <v>149</v>
      </c>
      <c r="B37" s="440">
        <v>10</v>
      </c>
      <c r="C37" s="407">
        <v>500</v>
      </c>
      <c r="D37" s="441">
        <v>0</v>
      </c>
      <c r="E37" s="442">
        <v>0</v>
      </c>
      <c r="F37" s="441">
        <v>10</v>
      </c>
      <c r="G37" s="407">
        <v>500</v>
      </c>
      <c r="H37" s="369" t="s">
        <v>758</v>
      </c>
      <c r="I37" s="392">
        <v>304</v>
      </c>
      <c r="J37" s="210"/>
    </row>
    <row r="38" spans="1:10" ht="15" customHeight="1">
      <c r="A38" s="135" t="s">
        <v>1021</v>
      </c>
      <c r="B38" s="440"/>
      <c r="C38" s="407">
        <v>0</v>
      </c>
      <c r="D38" s="441">
        <v>10</v>
      </c>
      <c r="E38" s="442">
        <v>499.2</v>
      </c>
      <c r="F38" s="441">
        <v>10</v>
      </c>
      <c r="G38" s="407">
        <v>499.2</v>
      </c>
      <c r="H38" s="369">
        <v>74880</v>
      </c>
      <c r="I38" s="392">
        <v>150</v>
      </c>
      <c r="J38" s="210"/>
    </row>
    <row r="39" spans="1:10" ht="15" customHeight="1">
      <c r="A39" s="135" t="s">
        <v>411</v>
      </c>
      <c r="B39" s="440">
        <v>20</v>
      </c>
      <c r="C39" s="407">
        <v>1000</v>
      </c>
      <c r="D39" s="441">
        <v>0</v>
      </c>
      <c r="E39" s="442">
        <v>0</v>
      </c>
      <c r="F39" s="441">
        <v>20</v>
      </c>
      <c r="G39" s="407">
        <v>1000</v>
      </c>
      <c r="H39" s="369" t="s">
        <v>1500</v>
      </c>
      <c r="I39" s="392">
        <v>315.5</v>
      </c>
      <c r="J39" s="210"/>
    </row>
    <row r="40" spans="1:10" ht="15" customHeight="1">
      <c r="A40" s="135" t="s">
        <v>1472</v>
      </c>
      <c r="B40" s="440">
        <v>10</v>
      </c>
      <c r="C40" s="407">
        <v>498.5</v>
      </c>
      <c r="D40" s="441">
        <v>0</v>
      </c>
      <c r="E40" s="442">
        <v>0</v>
      </c>
      <c r="F40" s="441">
        <v>10</v>
      </c>
      <c r="G40" s="407">
        <v>498.5</v>
      </c>
      <c r="H40" s="369" t="s">
        <v>477</v>
      </c>
      <c r="I40" s="392">
        <v>294</v>
      </c>
      <c r="J40" s="210"/>
    </row>
    <row r="41" spans="1:10" ht="15" customHeight="1">
      <c r="A41" s="135" t="s">
        <v>374</v>
      </c>
      <c r="B41" s="440">
        <v>20</v>
      </c>
      <c r="C41" s="407">
        <v>997</v>
      </c>
      <c r="D41" s="441">
        <v>0</v>
      </c>
      <c r="E41" s="442">
        <v>0</v>
      </c>
      <c r="F41" s="441">
        <v>20</v>
      </c>
      <c r="G41" s="407">
        <v>997</v>
      </c>
      <c r="H41" s="369" t="s">
        <v>1501</v>
      </c>
      <c r="I41" s="392">
        <v>136</v>
      </c>
      <c r="J41" s="210"/>
    </row>
    <row r="42" spans="1:10" ht="15" customHeight="1">
      <c r="A42" s="135" t="s">
        <v>53</v>
      </c>
      <c r="B42" s="440">
        <v>165</v>
      </c>
      <c r="C42" s="407">
        <v>8229</v>
      </c>
      <c r="D42" s="441">
        <v>7</v>
      </c>
      <c r="E42" s="442">
        <v>349.5</v>
      </c>
      <c r="F42" s="441">
        <v>172</v>
      </c>
      <c r="G42" s="407">
        <v>8578.5</v>
      </c>
      <c r="H42" s="369">
        <v>1832163</v>
      </c>
      <c r="I42" s="392">
        <v>213.57614967651688</v>
      </c>
      <c r="J42" s="210"/>
    </row>
    <row r="43" spans="1:10" ht="15" customHeight="1">
      <c r="A43" s="135" t="s">
        <v>54</v>
      </c>
      <c r="B43" s="440">
        <v>1</v>
      </c>
      <c r="C43" s="407">
        <v>10</v>
      </c>
      <c r="D43" s="441">
        <v>13</v>
      </c>
      <c r="E43" s="442">
        <v>648.7</v>
      </c>
      <c r="F43" s="441">
        <v>14</v>
      </c>
      <c r="G43" s="407">
        <v>658.7</v>
      </c>
      <c r="H43" s="369" t="s">
        <v>1502</v>
      </c>
      <c r="I43" s="392">
        <v>258.04</v>
      </c>
      <c r="J43" s="210"/>
    </row>
    <row r="44" spans="1:10" ht="15" customHeight="1">
      <c r="A44" s="135" t="s">
        <v>71</v>
      </c>
      <c r="B44" s="440">
        <v>65</v>
      </c>
      <c r="C44" s="407">
        <v>3241.5</v>
      </c>
      <c r="D44" s="441">
        <v>72</v>
      </c>
      <c r="E44" s="442">
        <v>3593.7</v>
      </c>
      <c r="F44" s="441">
        <v>137</v>
      </c>
      <c r="G44" s="407">
        <v>6835.2</v>
      </c>
      <c r="H44" s="369" t="s">
        <v>1503</v>
      </c>
      <c r="I44" s="392">
        <v>206.41</v>
      </c>
      <c r="J44" s="210"/>
    </row>
    <row r="45" spans="1:10" ht="15" customHeight="1">
      <c r="A45" s="135" t="s">
        <v>379</v>
      </c>
      <c r="B45" s="440">
        <v>310</v>
      </c>
      <c r="C45" s="407">
        <v>15477.5</v>
      </c>
      <c r="D45" s="441">
        <v>0</v>
      </c>
      <c r="E45" s="442">
        <v>0</v>
      </c>
      <c r="F45" s="441">
        <v>310</v>
      </c>
      <c r="G45" s="407">
        <v>15477.5</v>
      </c>
      <c r="H45" s="369" t="s">
        <v>1504</v>
      </c>
      <c r="I45" s="392">
        <v>223.07</v>
      </c>
      <c r="J45" s="210"/>
    </row>
    <row r="46" spans="1:10" ht="15" customHeight="1">
      <c r="A46" s="135" t="s">
        <v>19</v>
      </c>
      <c r="B46" s="440">
        <v>1531</v>
      </c>
      <c r="C46" s="407">
        <v>76375.5</v>
      </c>
      <c r="D46" s="441">
        <v>480</v>
      </c>
      <c r="E46" s="442">
        <v>23962.1</v>
      </c>
      <c r="F46" s="441">
        <v>2011</v>
      </c>
      <c r="G46" s="407" t="s">
        <v>1505</v>
      </c>
      <c r="H46" s="369" t="s">
        <v>1506</v>
      </c>
      <c r="I46" s="392">
        <v>221.7</v>
      </c>
      <c r="J46" s="210"/>
    </row>
    <row r="47" spans="1:10" ht="15" customHeight="1">
      <c r="A47" s="131"/>
      <c r="B47" s="306"/>
      <c r="C47" s="307"/>
      <c r="D47" s="308"/>
      <c r="E47" s="307"/>
      <c r="F47" s="306"/>
      <c r="G47" s="307"/>
      <c r="H47" s="152"/>
      <c r="I47" s="153"/>
      <c r="J47" s="210"/>
    </row>
    <row r="48" spans="1:10" ht="15" customHeight="1">
      <c r="A48" s="142" t="s">
        <v>62</v>
      </c>
      <c r="B48" s="388"/>
      <c r="C48" s="388"/>
      <c r="D48" s="388"/>
      <c r="E48" s="388"/>
      <c r="F48" s="388"/>
      <c r="G48" s="388"/>
      <c r="H48" s="388"/>
      <c r="I48" s="388"/>
      <c r="J48" s="210"/>
    </row>
    <row r="49" spans="1:11" ht="15" customHeight="1">
      <c r="A49" s="142" t="s">
        <v>63</v>
      </c>
      <c r="B49" s="388"/>
      <c r="C49" s="399"/>
      <c r="D49" s="143"/>
      <c r="E49" s="399"/>
      <c r="F49" s="143"/>
      <c r="G49" s="406" t="s">
        <v>64</v>
      </c>
      <c r="H49" s="389"/>
      <c r="I49" s="409"/>
      <c r="J49" s="210"/>
      <c r="K49" s="232"/>
    </row>
    <row r="50" spans="1:10" ht="15" customHeight="1">
      <c r="A50" s="142" t="s">
        <v>157</v>
      </c>
      <c r="B50" s="388"/>
      <c r="C50" s="399"/>
      <c r="D50" s="143"/>
      <c r="E50" s="399"/>
      <c r="F50" s="143"/>
      <c r="G50" s="103"/>
      <c r="H50" s="407" t="s">
        <v>66</v>
      </c>
      <c r="I50" s="408"/>
      <c r="J50" s="210"/>
    </row>
    <row r="51" spans="1:10" ht="15" customHeight="1">
      <c r="A51" s="142" t="s">
        <v>158</v>
      </c>
      <c r="B51" s="388"/>
      <c r="C51" s="399"/>
      <c r="D51" s="143"/>
      <c r="E51" s="399"/>
      <c r="F51" s="143"/>
      <c r="G51" s="405"/>
      <c r="H51" s="389"/>
      <c r="I51" s="408"/>
      <c r="J51" s="210"/>
    </row>
    <row r="52" spans="1:10" ht="15" customHeight="1">
      <c r="A52" s="142" t="s">
        <v>159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5" customHeight="1">
      <c r="A53" s="103"/>
      <c r="B53" s="388"/>
      <c r="C53" s="399"/>
      <c r="D53" s="103"/>
      <c r="E53" s="399"/>
      <c r="F53" s="103"/>
      <c r="G53" s="399"/>
      <c r="H53" s="391"/>
      <c r="I53" s="391"/>
      <c r="J53" s="203"/>
    </row>
    <row r="54" spans="1:10" ht="1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309"/>
    </row>
    <row r="56" spans="1:10" ht="15" customHeight="1">
      <c r="A56" s="103"/>
      <c r="B56" s="388"/>
      <c r="C56" s="399"/>
      <c r="D56" s="103"/>
      <c r="E56" s="399"/>
      <c r="F56" s="103"/>
      <c r="G56" s="399"/>
      <c r="H56" s="391"/>
      <c r="I56" s="391"/>
      <c r="J56" s="309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9" sqref="A19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1449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1450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1451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1452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341</v>
      </c>
      <c r="C15" s="407">
        <v>17029.5</v>
      </c>
      <c r="D15" s="441">
        <v>31</v>
      </c>
      <c r="E15" s="442">
        <v>1547.4</v>
      </c>
      <c r="F15" s="441">
        <v>372</v>
      </c>
      <c r="G15" s="407">
        <v>18576.9</v>
      </c>
      <c r="H15" s="369" t="s">
        <v>1453</v>
      </c>
      <c r="I15" s="392">
        <v>228.27</v>
      </c>
      <c r="J15" s="210"/>
    </row>
    <row r="16" spans="1:10" ht="15" customHeight="1">
      <c r="A16" s="135" t="s">
        <v>768</v>
      </c>
      <c r="B16" s="440">
        <v>60</v>
      </c>
      <c r="C16" s="407">
        <v>2991</v>
      </c>
      <c r="D16" s="441">
        <v>0</v>
      </c>
      <c r="E16" s="442">
        <v>0</v>
      </c>
      <c r="F16" s="441">
        <v>60</v>
      </c>
      <c r="G16" s="407">
        <v>2991</v>
      </c>
      <c r="H16" s="369" t="s">
        <v>1454</v>
      </c>
      <c r="I16" s="392">
        <v>127.17</v>
      </c>
      <c r="J16" s="210"/>
    </row>
    <row r="17" spans="1:10" ht="15" customHeight="1">
      <c r="A17" s="135" t="s">
        <v>132</v>
      </c>
      <c r="B17" s="440">
        <v>30</v>
      </c>
      <c r="C17" s="407">
        <v>1498.5</v>
      </c>
      <c r="D17" s="441">
        <v>0</v>
      </c>
      <c r="E17" s="442">
        <v>0</v>
      </c>
      <c r="F17" s="441">
        <v>30</v>
      </c>
      <c r="G17" s="407">
        <v>1498.5</v>
      </c>
      <c r="H17" s="369" t="s">
        <v>1455</v>
      </c>
      <c r="I17" s="392">
        <v>131.33</v>
      </c>
      <c r="J17" s="210"/>
    </row>
    <row r="18" spans="1:10" ht="15" customHeight="1">
      <c r="A18" s="135" t="s">
        <v>37</v>
      </c>
      <c r="B18" s="440">
        <v>25</v>
      </c>
      <c r="C18" s="407">
        <v>1250</v>
      </c>
      <c r="D18" s="441">
        <v>0</v>
      </c>
      <c r="E18" s="442">
        <v>0</v>
      </c>
      <c r="F18" s="441">
        <v>25</v>
      </c>
      <c r="G18" s="407">
        <v>1250</v>
      </c>
      <c r="H18" s="369" t="s">
        <v>1456</v>
      </c>
      <c r="I18" s="392">
        <v>234.4</v>
      </c>
      <c r="J18" s="210"/>
    </row>
    <row r="19" spans="1:10" ht="15" customHeight="1">
      <c r="A19" s="135" t="s">
        <v>170</v>
      </c>
      <c r="B19" s="440"/>
      <c r="C19" s="407">
        <v>0</v>
      </c>
      <c r="D19" s="441">
        <v>50</v>
      </c>
      <c r="E19" s="442">
        <v>2496</v>
      </c>
      <c r="F19" s="441">
        <v>50</v>
      </c>
      <c r="G19" s="407">
        <v>2496</v>
      </c>
      <c r="H19" s="369" t="s">
        <v>1457</v>
      </c>
      <c r="I19" s="392">
        <v>205.4</v>
      </c>
      <c r="J19" s="210"/>
    </row>
    <row r="20" spans="1:10" ht="15" customHeight="1">
      <c r="A20" s="135" t="s">
        <v>41</v>
      </c>
      <c r="B20" s="440">
        <v>37</v>
      </c>
      <c r="C20" s="407">
        <v>1799</v>
      </c>
      <c r="D20" s="441">
        <v>0</v>
      </c>
      <c r="E20" s="442">
        <v>0</v>
      </c>
      <c r="F20" s="441">
        <v>37</v>
      </c>
      <c r="G20" s="407">
        <v>1799</v>
      </c>
      <c r="H20" s="369" t="s">
        <v>1458</v>
      </c>
      <c r="I20" s="392">
        <v>269.52</v>
      </c>
      <c r="J20" s="210"/>
    </row>
    <row r="21" spans="1:10" ht="15" customHeight="1">
      <c r="A21" s="135" t="s">
        <v>42</v>
      </c>
      <c r="B21" s="440">
        <v>185</v>
      </c>
      <c r="C21" s="407">
        <v>9235</v>
      </c>
      <c r="D21" s="441">
        <v>80</v>
      </c>
      <c r="E21" s="442">
        <v>3993.6</v>
      </c>
      <c r="F21" s="441">
        <v>265</v>
      </c>
      <c r="G21" s="407">
        <v>13228.6</v>
      </c>
      <c r="H21" s="369" t="s">
        <v>1459</v>
      </c>
      <c r="I21" s="392">
        <v>203.57</v>
      </c>
      <c r="J21" s="210"/>
    </row>
    <row r="22" spans="1:10" ht="15" customHeight="1">
      <c r="A22" s="135" t="s">
        <v>43</v>
      </c>
      <c r="B22" s="440">
        <v>585</v>
      </c>
      <c r="C22" s="407">
        <v>29199</v>
      </c>
      <c r="D22" s="441">
        <v>65</v>
      </c>
      <c r="E22" s="442">
        <v>3244.4</v>
      </c>
      <c r="F22" s="441">
        <v>650</v>
      </c>
      <c r="G22" s="407">
        <v>32443.4</v>
      </c>
      <c r="H22" s="369" t="s">
        <v>1460</v>
      </c>
      <c r="I22" s="392">
        <v>199.56</v>
      </c>
      <c r="J22" s="210"/>
    </row>
    <row r="23" spans="1:10" ht="15" customHeight="1">
      <c r="A23" s="135" t="s">
        <v>45</v>
      </c>
      <c r="B23" s="440">
        <v>41</v>
      </c>
      <c r="C23" s="407">
        <v>2045.5</v>
      </c>
      <c r="D23" s="441">
        <v>25</v>
      </c>
      <c r="E23" s="442">
        <v>1247.6</v>
      </c>
      <c r="F23" s="441">
        <v>66</v>
      </c>
      <c r="G23" s="407">
        <v>3293.1</v>
      </c>
      <c r="H23" s="369" t="s">
        <v>1461</v>
      </c>
      <c r="I23" s="392">
        <v>196.76</v>
      </c>
      <c r="J23" s="210"/>
    </row>
    <row r="24" spans="1:10" ht="15" customHeight="1">
      <c r="A24" s="135" t="s">
        <v>183</v>
      </c>
      <c r="B24" s="440">
        <v>59</v>
      </c>
      <c r="C24" s="407">
        <v>2945.5</v>
      </c>
      <c r="D24" s="441">
        <v>0</v>
      </c>
      <c r="E24" s="442">
        <v>0</v>
      </c>
      <c r="F24" s="441">
        <v>59</v>
      </c>
      <c r="G24" s="407">
        <v>2945.5</v>
      </c>
      <c r="H24" s="369" t="s">
        <v>1462</v>
      </c>
      <c r="I24" s="392">
        <v>304.68</v>
      </c>
      <c r="J24" s="210"/>
    </row>
    <row r="25" spans="1:10" ht="15" customHeight="1">
      <c r="A25" s="135" t="s">
        <v>55</v>
      </c>
      <c r="B25" s="440"/>
      <c r="C25" s="407">
        <v>0</v>
      </c>
      <c r="D25" s="441">
        <v>10</v>
      </c>
      <c r="E25" s="442">
        <v>499.2</v>
      </c>
      <c r="F25" s="441">
        <v>10</v>
      </c>
      <c r="G25" s="407">
        <v>499.2</v>
      </c>
      <c r="H25" s="369" t="s">
        <v>1463</v>
      </c>
      <c r="I25" s="392">
        <v>239</v>
      </c>
      <c r="J25" s="210"/>
    </row>
    <row r="26" spans="1:10" ht="15" customHeight="1">
      <c r="A26" s="135" t="s">
        <v>400</v>
      </c>
      <c r="B26" s="440"/>
      <c r="C26" s="407">
        <v>0</v>
      </c>
      <c r="D26" s="441">
        <v>38</v>
      </c>
      <c r="E26" s="442">
        <v>1895.8</v>
      </c>
      <c r="F26" s="441">
        <v>38</v>
      </c>
      <c r="G26" s="407">
        <v>1895.8</v>
      </c>
      <c r="H26" s="369" t="s">
        <v>1464</v>
      </c>
      <c r="I26" s="392">
        <v>196.13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12</v>
      </c>
      <c r="E27" s="442">
        <v>598.7</v>
      </c>
      <c r="F27" s="441">
        <v>12</v>
      </c>
      <c r="G27" s="407">
        <v>598.7</v>
      </c>
      <c r="H27" s="369" t="s">
        <v>1465</v>
      </c>
      <c r="I27" s="392">
        <v>199.12</v>
      </c>
      <c r="J27" s="210"/>
    </row>
    <row r="28" spans="1:10" ht="15" customHeight="1">
      <c r="A28" s="135" t="s">
        <v>187</v>
      </c>
      <c r="B28" s="440"/>
      <c r="C28" s="407">
        <v>0</v>
      </c>
      <c r="D28" s="441">
        <v>80</v>
      </c>
      <c r="E28" s="442">
        <v>3993.6</v>
      </c>
      <c r="F28" s="441">
        <v>80</v>
      </c>
      <c r="G28" s="407">
        <v>3993.6</v>
      </c>
      <c r="H28" s="369" t="s">
        <v>1466</v>
      </c>
      <c r="I28" s="392">
        <v>199.75</v>
      </c>
      <c r="J28" s="210"/>
    </row>
    <row r="29" spans="1:10" ht="15" customHeight="1">
      <c r="A29" s="135" t="s">
        <v>46</v>
      </c>
      <c r="B29" s="440">
        <v>200</v>
      </c>
      <c r="C29" s="407">
        <v>9979</v>
      </c>
      <c r="D29" s="441">
        <v>10</v>
      </c>
      <c r="E29" s="442">
        <v>498.4</v>
      </c>
      <c r="F29" s="441">
        <v>210</v>
      </c>
      <c r="G29" s="407">
        <v>10477.4</v>
      </c>
      <c r="H29" s="369" t="s">
        <v>1467</v>
      </c>
      <c r="I29" s="392">
        <v>197.67</v>
      </c>
      <c r="J29" s="210"/>
    </row>
    <row r="30" spans="1:10" ht="15" customHeight="1">
      <c r="A30" s="135" t="s">
        <v>47</v>
      </c>
      <c r="B30" s="440">
        <v>20</v>
      </c>
      <c r="C30" s="407">
        <v>997</v>
      </c>
      <c r="D30" s="441">
        <v>0</v>
      </c>
      <c r="E30" s="442">
        <v>0</v>
      </c>
      <c r="F30" s="441">
        <v>20</v>
      </c>
      <c r="G30" s="407">
        <v>997</v>
      </c>
      <c r="H30" s="369" t="s">
        <v>1468</v>
      </c>
      <c r="I30" s="392">
        <v>121.5</v>
      </c>
      <c r="J30" s="210"/>
    </row>
    <row r="31" spans="1:10" ht="15" customHeight="1">
      <c r="A31" s="135" t="s">
        <v>194</v>
      </c>
      <c r="B31" s="440">
        <v>10</v>
      </c>
      <c r="C31" s="407">
        <v>499.5</v>
      </c>
      <c r="D31" s="441">
        <v>12</v>
      </c>
      <c r="E31" s="442">
        <v>599.2</v>
      </c>
      <c r="F31" s="441">
        <v>22</v>
      </c>
      <c r="G31" s="407">
        <v>1098.7</v>
      </c>
      <c r="H31" s="369" t="s">
        <v>1469</v>
      </c>
      <c r="I31" s="392">
        <v>184.63</v>
      </c>
      <c r="J31" s="210"/>
    </row>
    <row r="32" spans="1:10" ht="15" customHeight="1">
      <c r="A32" s="135" t="s">
        <v>49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1470</v>
      </c>
      <c r="I32" s="392">
        <v>320</v>
      </c>
      <c r="J32" s="210"/>
    </row>
    <row r="33" spans="1:10" ht="15" customHeight="1">
      <c r="A33" s="135" t="s">
        <v>51</v>
      </c>
      <c r="B33" s="440">
        <v>1</v>
      </c>
      <c r="C33" s="407">
        <v>6</v>
      </c>
      <c r="D33" s="441">
        <v>25</v>
      </c>
      <c r="E33" s="442">
        <v>1247.9</v>
      </c>
      <c r="F33" s="441">
        <v>26</v>
      </c>
      <c r="G33" s="407">
        <v>1253.9</v>
      </c>
      <c r="H33" s="369" t="s">
        <v>1471</v>
      </c>
      <c r="I33" s="392">
        <v>181.86</v>
      </c>
      <c r="J33" s="210"/>
    </row>
    <row r="34" spans="1:10" ht="15" customHeight="1">
      <c r="A34" s="135" t="s">
        <v>281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>
        <v>79261.5</v>
      </c>
      <c r="I34" s="392">
        <v>159</v>
      </c>
      <c r="J34" s="210"/>
    </row>
    <row r="35" spans="1:10" ht="15" customHeight="1">
      <c r="A35" s="135" t="s">
        <v>1472</v>
      </c>
      <c r="B35" s="440">
        <v>10</v>
      </c>
      <c r="C35" s="407">
        <v>498.5</v>
      </c>
      <c r="D35" s="441">
        <v>0</v>
      </c>
      <c r="E35" s="442">
        <v>0</v>
      </c>
      <c r="F35" s="441">
        <v>10</v>
      </c>
      <c r="G35" s="407">
        <v>498.5</v>
      </c>
      <c r="H35" s="369" t="s">
        <v>708</v>
      </c>
      <c r="I35" s="392">
        <v>290</v>
      </c>
      <c r="J35" s="210"/>
    </row>
    <row r="36" spans="1:10" ht="15" customHeight="1">
      <c r="A36" s="135" t="s">
        <v>198</v>
      </c>
      <c r="B36" s="440"/>
      <c r="C36" s="407">
        <v>0</v>
      </c>
      <c r="D36" s="441">
        <v>110</v>
      </c>
      <c r="E36" s="442">
        <v>5486.2</v>
      </c>
      <c r="F36" s="441">
        <v>110</v>
      </c>
      <c r="G36" s="407">
        <v>5486.2</v>
      </c>
      <c r="H36" s="369" t="s">
        <v>1473</v>
      </c>
      <c r="I36" s="392">
        <v>219.36</v>
      </c>
      <c r="J36" s="210"/>
    </row>
    <row r="37" spans="1:10" ht="15" customHeight="1">
      <c r="A37" s="135" t="s">
        <v>53</v>
      </c>
      <c r="B37" s="440">
        <f>20+110</f>
        <v>130</v>
      </c>
      <c r="C37" s="407">
        <f>997+249.5+4989.5+249.5</f>
        <v>6485.5</v>
      </c>
      <c r="D37" s="441">
        <f>30+5</f>
        <v>35</v>
      </c>
      <c r="E37" s="442">
        <f>1497.6+249.5</f>
        <v>1747.1</v>
      </c>
      <c r="F37" s="441">
        <f>50+115</f>
        <v>165</v>
      </c>
      <c r="G37" s="407">
        <f>2494.6+499+4989.5+249.5</f>
        <v>8232.6</v>
      </c>
      <c r="H37" s="369">
        <f>481486.5+69361+961472+35678.5</f>
        <v>1547998</v>
      </c>
      <c r="I37" s="392">
        <f>H37/G37</f>
        <v>188.03269926876078</v>
      </c>
      <c r="J37" s="210"/>
    </row>
    <row r="38" spans="1:10" ht="15" customHeight="1">
      <c r="A38" s="135" t="s">
        <v>54</v>
      </c>
      <c r="B38" s="440">
        <v>30</v>
      </c>
      <c r="C38" s="407">
        <v>1498.5</v>
      </c>
      <c r="D38" s="441">
        <v>33</v>
      </c>
      <c r="E38" s="442">
        <v>1647.1</v>
      </c>
      <c r="F38" s="441">
        <v>63</v>
      </c>
      <c r="G38" s="407">
        <v>3145.6</v>
      </c>
      <c r="H38" s="369" t="s">
        <v>1474</v>
      </c>
      <c r="I38" s="392">
        <v>220.02</v>
      </c>
      <c r="J38" s="210"/>
    </row>
    <row r="39" spans="1:10" ht="15" customHeight="1">
      <c r="A39" s="135" t="s">
        <v>71</v>
      </c>
      <c r="B39" s="440"/>
      <c r="C39" s="407">
        <v>0</v>
      </c>
      <c r="D39" s="441">
        <v>10</v>
      </c>
      <c r="E39" s="442">
        <v>499.2</v>
      </c>
      <c r="F39" s="441">
        <v>10</v>
      </c>
      <c r="G39" s="407">
        <v>499.2</v>
      </c>
      <c r="H39" s="369" t="s">
        <v>1475</v>
      </c>
      <c r="I39" s="392">
        <v>201</v>
      </c>
      <c r="J39" s="210"/>
    </row>
    <row r="40" spans="1:10" ht="15" customHeight="1">
      <c r="A40" s="135" t="s">
        <v>243</v>
      </c>
      <c r="B40" s="440">
        <v>20</v>
      </c>
      <c r="C40" s="407">
        <v>998.5</v>
      </c>
      <c r="D40" s="441">
        <v>0</v>
      </c>
      <c r="E40" s="442">
        <v>0</v>
      </c>
      <c r="F40" s="441">
        <v>20</v>
      </c>
      <c r="G40" s="407">
        <v>998.5</v>
      </c>
      <c r="H40" s="369" t="s">
        <v>1476</v>
      </c>
      <c r="I40" s="392">
        <v>216</v>
      </c>
      <c r="J40" s="210"/>
    </row>
    <row r="41" spans="1:10" ht="15" customHeight="1">
      <c r="A41" s="135" t="s">
        <v>379</v>
      </c>
      <c r="B41" s="440">
        <v>330</v>
      </c>
      <c r="C41" s="407">
        <v>16468.5</v>
      </c>
      <c r="D41" s="441">
        <v>0</v>
      </c>
      <c r="E41" s="442">
        <v>0</v>
      </c>
      <c r="F41" s="441">
        <v>330</v>
      </c>
      <c r="G41" s="407">
        <v>16468.5</v>
      </c>
      <c r="H41" s="369" t="s">
        <v>1477</v>
      </c>
      <c r="I41" s="392">
        <v>210.12</v>
      </c>
      <c r="J41" s="210"/>
    </row>
    <row r="42" spans="1:10" ht="15" customHeight="1">
      <c r="A42" s="135" t="s">
        <v>19</v>
      </c>
      <c r="B42" s="440">
        <v>2134</v>
      </c>
      <c r="C42" s="407" t="s">
        <v>1478</v>
      </c>
      <c r="D42" s="441">
        <v>626</v>
      </c>
      <c r="E42" s="442">
        <v>31241.4</v>
      </c>
      <c r="F42" s="441">
        <v>2760</v>
      </c>
      <c r="G42" s="407" t="s">
        <v>1479</v>
      </c>
      <c r="H42" s="369" t="s">
        <v>1480</v>
      </c>
      <c r="I42" s="392">
        <v>206.7</v>
      </c>
      <c r="J42" s="210"/>
    </row>
    <row r="43" spans="1:10" ht="15" customHeight="1">
      <c r="A43" s="131"/>
      <c r="B43" s="306"/>
      <c r="C43" s="307"/>
      <c r="D43" s="308"/>
      <c r="E43" s="307"/>
      <c r="F43" s="306"/>
      <c r="G43" s="307"/>
      <c r="H43" s="152"/>
      <c r="I43" s="153"/>
      <c r="J43" s="210"/>
    </row>
    <row r="44" spans="1:10" ht="15" customHeight="1">
      <c r="A44" s="142" t="s">
        <v>62</v>
      </c>
      <c r="B44" s="388"/>
      <c r="C44" s="388"/>
      <c r="D44" s="388"/>
      <c r="E44" s="388"/>
      <c r="F44" s="388"/>
      <c r="G44" s="388"/>
      <c r="H44" s="388"/>
      <c r="I44" s="388"/>
      <c r="J44" s="210"/>
    </row>
    <row r="45" spans="1:11" ht="15" customHeight="1">
      <c r="A45" s="142" t="s">
        <v>63</v>
      </c>
      <c r="B45" s="388"/>
      <c r="C45" s="399"/>
      <c r="D45" s="143"/>
      <c r="E45" s="399"/>
      <c r="F45" s="143"/>
      <c r="G45" s="406" t="s">
        <v>64</v>
      </c>
      <c r="H45" s="389"/>
      <c r="I45" s="409"/>
      <c r="J45" s="210"/>
      <c r="K45" s="232"/>
    </row>
    <row r="46" spans="1:10" ht="15" customHeight="1">
      <c r="A46" s="142" t="s">
        <v>157</v>
      </c>
      <c r="B46" s="388"/>
      <c r="C46" s="399"/>
      <c r="D46" s="143"/>
      <c r="E46" s="399"/>
      <c r="F46" s="143"/>
      <c r="G46" s="103"/>
      <c r="H46" s="407" t="s">
        <v>66</v>
      </c>
      <c r="I46" s="408"/>
      <c r="J46" s="210"/>
    </row>
    <row r="47" spans="1:10" ht="15" customHeight="1">
      <c r="A47" s="142" t="s">
        <v>158</v>
      </c>
      <c r="B47" s="388"/>
      <c r="C47" s="399"/>
      <c r="D47" s="143"/>
      <c r="E47" s="399"/>
      <c r="F47" s="143"/>
      <c r="G47" s="405"/>
      <c r="H47" s="389"/>
      <c r="I47" s="408"/>
      <c r="J47" s="210"/>
    </row>
    <row r="48" spans="1:10" ht="15" customHeight="1">
      <c r="A48" s="142" t="s">
        <v>159</v>
      </c>
      <c r="B48" s="388"/>
      <c r="C48" s="399"/>
      <c r="D48" s="143"/>
      <c r="E48" s="399"/>
      <c r="F48" s="143"/>
      <c r="G48" s="405"/>
      <c r="H48" s="389"/>
      <c r="I48" s="408"/>
      <c r="J48" s="210"/>
    </row>
    <row r="49" spans="1:10" ht="15" customHeight="1">
      <c r="A49" s="103"/>
      <c r="B49" s="388"/>
      <c r="C49" s="399"/>
      <c r="D49" s="103"/>
      <c r="E49" s="399"/>
      <c r="F49" s="103"/>
      <c r="G49" s="399"/>
      <c r="H49" s="391"/>
      <c r="I49" s="391"/>
      <c r="J49" s="203"/>
    </row>
    <row r="50" spans="1:10" ht="15" customHeight="1">
      <c r="A50" s="103"/>
      <c r="B50" s="388"/>
      <c r="C50" s="399"/>
      <c r="D50" s="103"/>
      <c r="E50" s="399"/>
      <c r="F50" s="103"/>
      <c r="G50" s="399"/>
      <c r="H50" s="391"/>
      <c r="I50" s="391"/>
      <c r="J50" s="203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309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309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347</v>
      </c>
      <c r="B15" s="308">
        <v>5</v>
      </c>
      <c r="C15" s="307">
        <v>248.5</v>
      </c>
      <c r="D15" s="308">
        <v>0</v>
      </c>
      <c r="E15" s="307">
        <v>0</v>
      </c>
      <c r="F15" s="308">
        <v>5</v>
      </c>
      <c r="G15" s="307">
        <v>248.5</v>
      </c>
      <c r="H15" s="152">
        <v>50694</v>
      </c>
      <c r="I15" s="153">
        <v>204</v>
      </c>
      <c r="J15" s="210"/>
    </row>
    <row r="16" spans="1:10" ht="15" customHeight="1">
      <c r="A16" s="131" t="s">
        <v>36</v>
      </c>
      <c r="B16" s="308">
        <v>918</v>
      </c>
      <c r="C16" s="307">
        <v>45823</v>
      </c>
      <c r="D16" s="308">
        <v>93</v>
      </c>
      <c r="E16" s="307">
        <v>4642.3</v>
      </c>
      <c r="F16" s="306">
        <v>1011</v>
      </c>
      <c r="G16" s="307">
        <v>50465.3</v>
      </c>
      <c r="H16" s="152" t="s">
        <v>1418</v>
      </c>
      <c r="I16" s="153">
        <v>197.22</v>
      </c>
      <c r="J16" s="210"/>
    </row>
    <row r="17" spans="1:10" ht="15" customHeight="1">
      <c r="A17" s="131" t="s">
        <v>132</v>
      </c>
      <c r="B17" s="308">
        <v>5</v>
      </c>
      <c r="C17" s="307">
        <v>249.5</v>
      </c>
      <c r="D17" s="308">
        <v>0</v>
      </c>
      <c r="E17" s="307">
        <v>0</v>
      </c>
      <c r="F17" s="308">
        <v>5</v>
      </c>
      <c r="G17" s="307">
        <v>249.5</v>
      </c>
      <c r="H17" s="152">
        <v>53642.5</v>
      </c>
      <c r="I17" s="153">
        <v>215</v>
      </c>
      <c r="J17" s="210"/>
    </row>
    <row r="18" spans="1:10" ht="15" customHeight="1">
      <c r="A18" s="131" t="s">
        <v>1284</v>
      </c>
      <c r="B18" s="308">
        <v>10</v>
      </c>
      <c r="C18" s="307">
        <v>498.5</v>
      </c>
      <c r="D18" s="308">
        <v>0</v>
      </c>
      <c r="E18" s="307">
        <v>0</v>
      </c>
      <c r="F18" s="308">
        <v>10</v>
      </c>
      <c r="G18" s="307">
        <v>498.5</v>
      </c>
      <c r="H18" s="152" t="s">
        <v>265</v>
      </c>
      <c r="I18" s="153">
        <v>335</v>
      </c>
      <c r="J18" s="210"/>
    </row>
    <row r="19" spans="1:10" ht="15" customHeight="1">
      <c r="A19" s="131" t="s">
        <v>213</v>
      </c>
      <c r="B19" s="308">
        <v>35</v>
      </c>
      <c r="C19" s="307">
        <v>1746</v>
      </c>
      <c r="D19" s="308">
        <v>73</v>
      </c>
      <c r="E19" s="307">
        <v>3645.1</v>
      </c>
      <c r="F19" s="308">
        <v>108</v>
      </c>
      <c r="G19" s="307">
        <v>5391.1</v>
      </c>
      <c r="H19" s="152" t="s">
        <v>1419</v>
      </c>
      <c r="I19" s="153">
        <v>141.2</v>
      </c>
      <c r="J19" s="210"/>
    </row>
    <row r="20" spans="1:10" ht="15" customHeight="1">
      <c r="A20" s="131" t="s">
        <v>73</v>
      </c>
      <c r="B20" s="308">
        <v>21</v>
      </c>
      <c r="C20" s="307">
        <v>1048.5</v>
      </c>
      <c r="D20" s="308">
        <v>0</v>
      </c>
      <c r="E20" s="307">
        <v>0</v>
      </c>
      <c r="F20" s="308">
        <v>21</v>
      </c>
      <c r="G20" s="307">
        <v>1048.5</v>
      </c>
      <c r="H20" s="152" t="s">
        <v>1420</v>
      </c>
      <c r="I20" s="153">
        <v>275</v>
      </c>
      <c r="J20" s="210"/>
    </row>
    <row r="21" spans="1:10" ht="15" customHeight="1">
      <c r="A21" s="131" t="s">
        <v>38</v>
      </c>
      <c r="B21" s="308">
        <v>10</v>
      </c>
      <c r="C21" s="307">
        <v>498.5</v>
      </c>
      <c r="D21" s="308">
        <v>0</v>
      </c>
      <c r="E21" s="307">
        <v>0</v>
      </c>
      <c r="F21" s="308">
        <v>10</v>
      </c>
      <c r="G21" s="307">
        <v>498.5</v>
      </c>
      <c r="H21" s="152">
        <v>62811</v>
      </c>
      <c r="I21" s="153">
        <v>126</v>
      </c>
      <c r="J21" s="210"/>
    </row>
    <row r="22" spans="1:10" ht="15" customHeight="1">
      <c r="A22" s="131" t="s">
        <v>170</v>
      </c>
      <c r="B22" s="308">
        <v>30</v>
      </c>
      <c r="C22" s="307">
        <v>1497</v>
      </c>
      <c r="D22" s="308">
        <v>70</v>
      </c>
      <c r="E22" s="307">
        <v>3494.4</v>
      </c>
      <c r="F22" s="308">
        <v>100</v>
      </c>
      <c r="G22" s="307">
        <v>4991.4</v>
      </c>
      <c r="H22" s="152" t="s">
        <v>1421</v>
      </c>
      <c r="I22" s="153">
        <v>223.3</v>
      </c>
      <c r="J22" s="210"/>
    </row>
    <row r="23" spans="1:10" ht="15" customHeight="1">
      <c r="A23" s="131" t="s">
        <v>39</v>
      </c>
      <c r="B23" s="308">
        <v>76</v>
      </c>
      <c r="C23" s="307">
        <v>3795.5</v>
      </c>
      <c r="D23" s="308">
        <v>0</v>
      </c>
      <c r="E23" s="307">
        <v>0</v>
      </c>
      <c r="F23" s="308">
        <v>76</v>
      </c>
      <c r="G23" s="307">
        <v>3795.5</v>
      </c>
      <c r="H23" s="152" t="s">
        <v>1422</v>
      </c>
      <c r="I23" s="153">
        <v>293.77</v>
      </c>
      <c r="J23" s="210"/>
    </row>
    <row r="24" spans="1:10" ht="15" customHeight="1">
      <c r="A24" s="131" t="s">
        <v>41</v>
      </c>
      <c r="B24" s="308">
        <v>85</v>
      </c>
      <c r="C24" s="307">
        <v>4242.5</v>
      </c>
      <c r="D24" s="308">
        <v>0</v>
      </c>
      <c r="E24" s="307">
        <v>0</v>
      </c>
      <c r="F24" s="308">
        <v>85</v>
      </c>
      <c r="G24" s="307">
        <v>4242.5</v>
      </c>
      <c r="H24" s="152" t="s">
        <v>1423</v>
      </c>
      <c r="I24" s="153">
        <v>189.73</v>
      </c>
      <c r="J24" s="210"/>
    </row>
    <row r="25" spans="1:10" ht="15" customHeight="1">
      <c r="A25" s="131" t="s">
        <v>98</v>
      </c>
      <c r="B25" s="308">
        <v>65</v>
      </c>
      <c r="C25" s="307">
        <v>3242.5</v>
      </c>
      <c r="D25" s="308">
        <v>0</v>
      </c>
      <c r="E25" s="307">
        <v>0</v>
      </c>
      <c r="F25" s="308">
        <v>65</v>
      </c>
      <c r="G25" s="307">
        <v>3242.5</v>
      </c>
      <c r="H25" s="152" t="s">
        <v>1424</v>
      </c>
      <c r="I25" s="153">
        <v>237.39</v>
      </c>
      <c r="J25" s="210"/>
    </row>
    <row r="26" spans="1:10" ht="15" customHeight="1">
      <c r="A26" s="131" t="s">
        <v>42</v>
      </c>
      <c r="B26" s="308">
        <v>215</v>
      </c>
      <c r="C26" s="307">
        <v>10726</v>
      </c>
      <c r="D26" s="308">
        <v>10</v>
      </c>
      <c r="E26" s="307">
        <v>499.2</v>
      </c>
      <c r="F26" s="308">
        <v>225</v>
      </c>
      <c r="G26" s="307">
        <v>11225.2</v>
      </c>
      <c r="H26" s="152" t="s">
        <v>1425</v>
      </c>
      <c r="I26" s="153">
        <v>208.11</v>
      </c>
      <c r="J26" s="210"/>
    </row>
    <row r="27" spans="1:10" ht="15" customHeight="1">
      <c r="A27" s="131" t="s">
        <v>43</v>
      </c>
      <c r="B27" s="306">
        <v>1185</v>
      </c>
      <c r="C27" s="307">
        <v>59143</v>
      </c>
      <c r="D27" s="308">
        <v>180</v>
      </c>
      <c r="E27" s="307">
        <v>8985.4</v>
      </c>
      <c r="F27" s="306">
        <v>1365</v>
      </c>
      <c r="G27" s="307">
        <v>68128.4</v>
      </c>
      <c r="H27" s="152" t="s">
        <v>1426</v>
      </c>
      <c r="I27" s="153">
        <v>209.7</v>
      </c>
      <c r="J27" s="210"/>
    </row>
    <row r="28" spans="1:10" ht="15" customHeight="1">
      <c r="A28" s="131" t="s">
        <v>45</v>
      </c>
      <c r="B28" s="308">
        <v>25</v>
      </c>
      <c r="C28" s="307">
        <v>1247</v>
      </c>
      <c r="D28" s="308">
        <v>10</v>
      </c>
      <c r="E28" s="307">
        <v>499.2</v>
      </c>
      <c r="F28" s="308">
        <v>35</v>
      </c>
      <c r="G28" s="307">
        <v>1746.2</v>
      </c>
      <c r="H28" s="152" t="s">
        <v>1427</v>
      </c>
      <c r="I28" s="153">
        <v>149.99</v>
      </c>
      <c r="J28" s="210"/>
    </row>
    <row r="29" spans="1:10" ht="15" customHeight="1">
      <c r="A29" s="131" t="s">
        <v>67</v>
      </c>
      <c r="B29" s="308">
        <v>145</v>
      </c>
      <c r="C29" s="307">
        <v>7233.5</v>
      </c>
      <c r="D29" s="308">
        <v>0</v>
      </c>
      <c r="E29" s="307">
        <v>0</v>
      </c>
      <c r="F29" s="308">
        <v>145</v>
      </c>
      <c r="G29" s="307">
        <v>7233.5</v>
      </c>
      <c r="H29" s="152" t="s">
        <v>1428</v>
      </c>
      <c r="I29" s="153">
        <v>199.03</v>
      </c>
      <c r="J29" s="210"/>
    </row>
    <row r="30" spans="1:10" ht="15" customHeight="1">
      <c r="A30" s="131" t="s">
        <v>55</v>
      </c>
      <c r="B30" s="308">
        <v>55</v>
      </c>
      <c r="C30" s="307">
        <v>2744</v>
      </c>
      <c r="D30" s="308">
        <v>41</v>
      </c>
      <c r="E30" s="307">
        <v>2046.2</v>
      </c>
      <c r="F30" s="308">
        <v>96</v>
      </c>
      <c r="G30" s="307">
        <v>4790.2</v>
      </c>
      <c r="H30" s="152" t="s">
        <v>1429</v>
      </c>
      <c r="I30" s="153">
        <v>202.52</v>
      </c>
      <c r="J30" s="210"/>
    </row>
    <row r="31" spans="1:10" ht="15" customHeight="1">
      <c r="A31" s="131" t="s">
        <v>1213</v>
      </c>
      <c r="B31" s="308">
        <v>10</v>
      </c>
      <c r="C31" s="307">
        <v>498.5</v>
      </c>
      <c r="D31" s="308">
        <v>0</v>
      </c>
      <c r="E31" s="307">
        <v>0</v>
      </c>
      <c r="F31" s="308">
        <v>10</v>
      </c>
      <c r="G31" s="307">
        <v>498.5</v>
      </c>
      <c r="H31" s="152">
        <v>72282.5</v>
      </c>
      <c r="I31" s="153">
        <v>145</v>
      </c>
      <c r="J31" s="210"/>
    </row>
    <row r="32" spans="1:10" ht="15" customHeight="1">
      <c r="A32" s="131" t="s">
        <v>187</v>
      </c>
      <c r="B32" s="309"/>
      <c r="C32" s="307">
        <v>0</v>
      </c>
      <c r="D32" s="308">
        <v>40</v>
      </c>
      <c r="E32" s="307">
        <v>1996.8</v>
      </c>
      <c r="F32" s="308">
        <v>40</v>
      </c>
      <c r="G32" s="307">
        <v>1996.8</v>
      </c>
      <c r="H32" s="152" t="s">
        <v>1430</v>
      </c>
      <c r="I32" s="153">
        <v>204.5</v>
      </c>
      <c r="J32" s="210"/>
    </row>
    <row r="33" spans="1:10" ht="15" customHeight="1">
      <c r="A33" s="131" t="s">
        <v>1013</v>
      </c>
      <c r="B33" s="308">
        <v>75</v>
      </c>
      <c r="C33" s="307">
        <v>3742.5</v>
      </c>
      <c r="D33" s="308">
        <v>0</v>
      </c>
      <c r="E33" s="307">
        <v>0</v>
      </c>
      <c r="F33" s="308">
        <v>75</v>
      </c>
      <c r="G33" s="307">
        <v>3742.5</v>
      </c>
      <c r="H33" s="152" t="s">
        <v>1431</v>
      </c>
      <c r="I33" s="153">
        <v>231.67</v>
      </c>
      <c r="J33" s="210"/>
    </row>
    <row r="34" spans="1:10" ht="15" customHeight="1">
      <c r="A34" s="131" t="s">
        <v>230</v>
      </c>
      <c r="B34" s="308">
        <v>61</v>
      </c>
      <c r="C34" s="307">
        <v>3043.5</v>
      </c>
      <c r="D34" s="308">
        <v>0</v>
      </c>
      <c r="E34" s="307">
        <v>0</v>
      </c>
      <c r="F34" s="308">
        <v>61</v>
      </c>
      <c r="G34" s="307">
        <v>3043.5</v>
      </c>
      <c r="H34" s="152" t="s">
        <v>1432</v>
      </c>
      <c r="I34" s="153">
        <v>241.03</v>
      </c>
      <c r="J34" s="210"/>
    </row>
    <row r="35" spans="1:10" ht="15" customHeight="1">
      <c r="A35" s="131" t="s">
        <v>46</v>
      </c>
      <c r="B35" s="308">
        <v>325</v>
      </c>
      <c r="C35" s="307">
        <v>16200</v>
      </c>
      <c r="D35" s="308">
        <v>30</v>
      </c>
      <c r="E35" s="307">
        <v>1497.6</v>
      </c>
      <c r="F35" s="308">
        <v>355</v>
      </c>
      <c r="G35" s="307">
        <v>17697.6</v>
      </c>
      <c r="H35" s="152" t="s">
        <v>1433</v>
      </c>
      <c r="I35" s="153">
        <v>194.51</v>
      </c>
      <c r="J35" s="210"/>
    </row>
    <row r="36" spans="1:10" ht="15" customHeight="1">
      <c r="A36" s="131" t="s">
        <v>47</v>
      </c>
      <c r="B36" s="308">
        <v>20</v>
      </c>
      <c r="C36" s="307">
        <v>997</v>
      </c>
      <c r="D36" s="308">
        <v>0</v>
      </c>
      <c r="E36" s="307">
        <v>0</v>
      </c>
      <c r="F36" s="308">
        <v>20</v>
      </c>
      <c r="G36" s="307">
        <v>997</v>
      </c>
      <c r="H36" s="152" t="s">
        <v>1370</v>
      </c>
      <c r="I36" s="153">
        <v>120</v>
      </c>
      <c r="J36" s="210"/>
    </row>
    <row r="37" spans="1:10" ht="15" customHeight="1">
      <c r="A37" s="131" t="s">
        <v>112</v>
      </c>
      <c r="B37" s="308">
        <v>20</v>
      </c>
      <c r="C37" s="307">
        <v>995.5</v>
      </c>
      <c r="D37" s="308">
        <v>0</v>
      </c>
      <c r="E37" s="307">
        <v>0</v>
      </c>
      <c r="F37" s="308">
        <v>20</v>
      </c>
      <c r="G37" s="307">
        <v>995.5</v>
      </c>
      <c r="H37" s="152" t="s">
        <v>1434</v>
      </c>
      <c r="I37" s="153">
        <v>257.7</v>
      </c>
      <c r="J37" s="210"/>
    </row>
    <row r="38" spans="1:10" ht="15" customHeight="1">
      <c r="A38" s="131" t="s">
        <v>194</v>
      </c>
      <c r="B38" s="309"/>
      <c r="C38" s="307">
        <v>0</v>
      </c>
      <c r="D38" s="308">
        <v>15</v>
      </c>
      <c r="E38" s="307">
        <v>748.4</v>
      </c>
      <c r="F38" s="308">
        <v>15</v>
      </c>
      <c r="G38" s="307">
        <v>748.4</v>
      </c>
      <c r="H38" s="152" t="s">
        <v>1435</v>
      </c>
      <c r="I38" s="153">
        <v>177.65</v>
      </c>
      <c r="J38" s="210"/>
    </row>
    <row r="39" spans="1:10" ht="15" customHeight="1">
      <c r="A39" s="131" t="s">
        <v>51</v>
      </c>
      <c r="B39" s="309"/>
      <c r="C39" s="307">
        <v>0</v>
      </c>
      <c r="D39" s="308">
        <f>103+10</f>
        <v>113</v>
      </c>
      <c r="E39" s="307">
        <f>5138.3+499.2</f>
        <v>5637.5</v>
      </c>
      <c r="F39" s="308">
        <f>103+10</f>
        <v>113</v>
      </c>
      <c r="G39" s="307">
        <f>5138.3+499.2</f>
        <v>5637.5</v>
      </c>
      <c r="H39" s="152">
        <f>1073789.5+68889.6</f>
        <v>1142679.1</v>
      </c>
      <c r="I39" s="153">
        <f>H39/G39</f>
        <v>202.69252328159646</v>
      </c>
      <c r="J39" s="210"/>
    </row>
    <row r="40" spans="1:10" ht="15" customHeight="1">
      <c r="A40" s="131" t="s">
        <v>411</v>
      </c>
      <c r="B40" s="308">
        <v>11</v>
      </c>
      <c r="C40" s="307">
        <v>550</v>
      </c>
      <c r="D40" s="308">
        <v>0</v>
      </c>
      <c r="E40" s="307">
        <v>0</v>
      </c>
      <c r="F40" s="308">
        <v>11</v>
      </c>
      <c r="G40" s="307">
        <v>550</v>
      </c>
      <c r="H40" s="152" t="s">
        <v>1436</v>
      </c>
      <c r="I40" s="153">
        <v>335</v>
      </c>
      <c r="J40" s="210"/>
    </row>
    <row r="41" spans="1:10" ht="15" customHeight="1">
      <c r="A41" s="131" t="s">
        <v>198</v>
      </c>
      <c r="B41" s="309"/>
      <c r="C41" s="307">
        <v>0</v>
      </c>
      <c r="D41" s="308">
        <v>100</v>
      </c>
      <c r="E41" s="307">
        <v>4992</v>
      </c>
      <c r="F41" s="308">
        <v>100</v>
      </c>
      <c r="G41" s="307">
        <v>4992</v>
      </c>
      <c r="H41" s="152" t="s">
        <v>1437</v>
      </c>
      <c r="I41" s="153">
        <v>219.5</v>
      </c>
      <c r="J41" s="210"/>
    </row>
    <row r="42" spans="1:10" ht="15" customHeight="1">
      <c r="A42" s="131" t="s">
        <v>707</v>
      </c>
      <c r="B42" s="308">
        <v>10</v>
      </c>
      <c r="C42" s="307">
        <v>498.5</v>
      </c>
      <c r="D42" s="308">
        <v>0</v>
      </c>
      <c r="E42" s="307">
        <v>0</v>
      </c>
      <c r="F42" s="308">
        <v>10</v>
      </c>
      <c r="G42" s="307">
        <v>498.5</v>
      </c>
      <c r="H42" s="152">
        <v>64805</v>
      </c>
      <c r="I42" s="153">
        <v>130</v>
      </c>
      <c r="J42" s="210"/>
    </row>
    <row r="43" spans="1:10" ht="15" customHeight="1">
      <c r="A43" s="131" t="s">
        <v>53</v>
      </c>
      <c r="B43" s="308">
        <f>40+35</f>
        <v>75</v>
      </c>
      <c r="C43" s="307">
        <f>1995.5+1000+209+498.5</f>
        <v>3703</v>
      </c>
      <c r="D43" s="308">
        <v>0</v>
      </c>
      <c r="E43" s="307">
        <v>0</v>
      </c>
      <c r="F43" s="308">
        <f>40+35</f>
        <v>75</v>
      </c>
      <c r="G43" s="307">
        <f>1995.5+1000+209+498.5</f>
        <v>3703</v>
      </c>
      <c r="H43" s="152">
        <f>507162.5+235500+33440+72282.5</f>
        <v>848385</v>
      </c>
      <c r="I43" s="153">
        <f>H43/G43</f>
        <v>229.10748042128003</v>
      </c>
      <c r="J43" s="210"/>
    </row>
    <row r="44" spans="1:10" ht="15" customHeight="1">
      <c r="A44" s="131" t="s">
        <v>54</v>
      </c>
      <c r="B44" s="309"/>
      <c r="C44" s="307">
        <v>0</v>
      </c>
      <c r="D44" s="308">
        <v>23</v>
      </c>
      <c r="E44" s="307">
        <v>1147.9</v>
      </c>
      <c r="F44" s="308">
        <v>23</v>
      </c>
      <c r="G44" s="307">
        <v>1147.9</v>
      </c>
      <c r="H44" s="152" t="s">
        <v>1438</v>
      </c>
      <c r="I44" s="153">
        <v>249.34</v>
      </c>
      <c r="J44" s="210"/>
    </row>
    <row r="45" spans="1:10" ht="15" customHeight="1">
      <c r="A45" s="131" t="s">
        <v>1309</v>
      </c>
      <c r="B45" s="308">
        <v>91</v>
      </c>
      <c r="C45" s="307">
        <v>4538</v>
      </c>
      <c r="D45" s="308">
        <v>0</v>
      </c>
      <c r="E45" s="307">
        <v>0</v>
      </c>
      <c r="F45" s="308">
        <v>91</v>
      </c>
      <c r="G45" s="307">
        <v>4538</v>
      </c>
      <c r="H45" s="152" t="s">
        <v>1439</v>
      </c>
      <c r="I45" s="153">
        <v>166.55</v>
      </c>
      <c r="J45" s="210"/>
    </row>
    <row r="46" spans="1:10" ht="15" customHeight="1">
      <c r="A46" s="131" t="s">
        <v>71</v>
      </c>
      <c r="B46" s="308">
        <v>93</v>
      </c>
      <c r="C46" s="307">
        <v>4602</v>
      </c>
      <c r="D46" s="308">
        <v>42</v>
      </c>
      <c r="E46" s="307">
        <v>2095.6</v>
      </c>
      <c r="F46" s="308">
        <v>135</v>
      </c>
      <c r="G46" s="307">
        <v>6697.6</v>
      </c>
      <c r="H46" s="152" t="s">
        <v>1440</v>
      </c>
      <c r="I46" s="153">
        <v>223.73</v>
      </c>
      <c r="J46" s="210"/>
    </row>
    <row r="47" spans="1:10" ht="15" customHeight="1">
      <c r="A47" s="131" t="s">
        <v>243</v>
      </c>
      <c r="B47" s="308">
        <v>25</v>
      </c>
      <c r="C47" s="307">
        <v>1247</v>
      </c>
      <c r="D47" s="308">
        <v>0</v>
      </c>
      <c r="E47" s="307">
        <v>0</v>
      </c>
      <c r="F47" s="308">
        <v>25</v>
      </c>
      <c r="G47" s="307">
        <v>1247</v>
      </c>
      <c r="H47" s="152" t="s">
        <v>1441</v>
      </c>
      <c r="I47" s="153">
        <v>156.58</v>
      </c>
      <c r="J47" s="210"/>
    </row>
    <row r="48" spans="1:10" ht="15" customHeight="1">
      <c r="A48" s="131" t="s">
        <v>874</v>
      </c>
      <c r="B48" s="309"/>
      <c r="C48" s="307">
        <v>0</v>
      </c>
      <c r="D48" s="308">
        <v>20</v>
      </c>
      <c r="E48" s="307">
        <v>998.4</v>
      </c>
      <c r="F48" s="308">
        <v>20</v>
      </c>
      <c r="G48" s="307">
        <v>998.4</v>
      </c>
      <c r="H48" s="152" t="s">
        <v>1442</v>
      </c>
      <c r="I48" s="153">
        <v>164</v>
      </c>
      <c r="J48" s="210"/>
    </row>
    <row r="49" spans="1:10" ht="15" customHeight="1">
      <c r="A49" s="131" t="s">
        <v>379</v>
      </c>
      <c r="B49" s="308">
        <v>520</v>
      </c>
      <c r="C49" s="307">
        <v>25958</v>
      </c>
      <c r="D49" s="308">
        <v>0</v>
      </c>
      <c r="E49" s="307">
        <v>0</v>
      </c>
      <c r="F49" s="308">
        <v>520</v>
      </c>
      <c r="G49" s="307">
        <v>25958</v>
      </c>
      <c r="H49" s="152" t="s">
        <v>1443</v>
      </c>
      <c r="I49" s="153">
        <v>210.44</v>
      </c>
      <c r="J49" s="210"/>
    </row>
    <row r="50" spans="1:10" ht="15" customHeight="1">
      <c r="A50" s="131" t="s">
        <v>57</v>
      </c>
      <c r="B50" s="308">
        <v>51</v>
      </c>
      <c r="C50" s="307">
        <v>2547</v>
      </c>
      <c r="D50" s="308">
        <v>0</v>
      </c>
      <c r="E50" s="307">
        <v>0</v>
      </c>
      <c r="F50" s="308">
        <v>51</v>
      </c>
      <c r="G50" s="307">
        <v>2547</v>
      </c>
      <c r="H50" s="152" t="s">
        <v>1444</v>
      </c>
      <c r="I50" s="153">
        <v>223.14</v>
      </c>
      <c r="J50" s="210"/>
    </row>
    <row r="51" spans="1:10" ht="15" customHeight="1">
      <c r="A51" s="131" t="s">
        <v>19</v>
      </c>
      <c r="B51" s="306">
        <v>4272</v>
      </c>
      <c r="C51" s="307" t="s">
        <v>1445</v>
      </c>
      <c r="D51" s="308">
        <v>860</v>
      </c>
      <c r="E51" s="307">
        <v>42926</v>
      </c>
      <c r="F51" s="306">
        <v>5132</v>
      </c>
      <c r="G51" s="307" t="s">
        <v>1446</v>
      </c>
      <c r="H51" s="152" t="s">
        <v>1447</v>
      </c>
      <c r="I51" s="153">
        <v>205.97</v>
      </c>
      <c r="J51" s="210"/>
    </row>
    <row r="52" spans="1:10" ht="15" customHeight="1">
      <c r="A52" s="131"/>
      <c r="B52" s="306"/>
      <c r="C52" s="307"/>
      <c r="D52" s="308"/>
      <c r="E52" s="307"/>
      <c r="F52" s="306"/>
      <c r="G52" s="307"/>
      <c r="H52" s="152"/>
      <c r="I52" s="153"/>
      <c r="J52" s="210"/>
    </row>
    <row r="53" spans="1:10" ht="15" customHeight="1">
      <c r="A53" s="142" t="s">
        <v>62</v>
      </c>
      <c r="B53" s="388"/>
      <c r="C53" s="388"/>
      <c r="D53" s="388"/>
      <c r="E53" s="388"/>
      <c r="F53" s="388"/>
      <c r="G53" s="388"/>
      <c r="H53" s="388"/>
      <c r="I53" s="388"/>
      <c r="J53" s="210"/>
    </row>
    <row r="54" spans="1:11" ht="15" customHeight="1">
      <c r="A54" s="142" t="s">
        <v>63</v>
      </c>
      <c r="B54" s="388"/>
      <c r="C54" s="399"/>
      <c r="D54" s="143"/>
      <c r="E54" s="399"/>
      <c r="F54" s="143"/>
      <c r="G54" s="406" t="s">
        <v>64</v>
      </c>
      <c r="H54" s="389"/>
      <c r="I54" s="409"/>
      <c r="J54" s="210"/>
      <c r="K54" s="232"/>
    </row>
    <row r="55" spans="1:10" ht="15" customHeight="1">
      <c r="A55" s="142" t="s">
        <v>157</v>
      </c>
      <c r="B55" s="388"/>
      <c r="C55" s="399"/>
      <c r="D55" s="143"/>
      <c r="E55" s="399"/>
      <c r="F55" s="143"/>
      <c r="G55" s="103"/>
      <c r="H55" s="407" t="s">
        <v>66</v>
      </c>
      <c r="I55" s="408"/>
      <c r="J55" s="210"/>
    </row>
    <row r="56" spans="1:10" ht="15" customHeight="1">
      <c r="A56" s="142" t="s">
        <v>158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" customHeight="1">
      <c r="A57" s="142" t="s">
        <v>159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03"/>
      <c r="B58" s="388"/>
      <c r="C58" s="399"/>
      <c r="D58" s="103"/>
      <c r="E58" s="399"/>
      <c r="F58" s="103"/>
      <c r="G58" s="399"/>
      <c r="H58" s="391"/>
      <c r="I58" s="391"/>
      <c r="J58" s="203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309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0">
      <selection activeCell="C9" sqref="C9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9.140625" style="957" customWidth="1"/>
  </cols>
  <sheetData>
    <row r="1" spans="1:9" ht="15.75" customHeight="1">
      <c r="A1" s="975" t="s">
        <v>1978</v>
      </c>
      <c r="B1" s="1078"/>
      <c r="C1" s="1079"/>
      <c r="D1" s="1078"/>
      <c r="E1" s="1080"/>
      <c r="F1" s="1078"/>
      <c r="G1" s="1079"/>
      <c r="H1" s="1081"/>
      <c r="I1" s="1082"/>
    </row>
    <row r="2" spans="1:9" ht="15.75" customHeight="1">
      <c r="A2" s="975" t="s">
        <v>1979</v>
      </c>
      <c r="B2" s="1078"/>
      <c r="C2" s="1079"/>
      <c r="D2" s="1078"/>
      <c r="E2" s="1080"/>
      <c r="F2" s="1078"/>
      <c r="G2" s="1079"/>
      <c r="H2" s="1081"/>
      <c r="I2" s="1082"/>
    </row>
    <row r="3" spans="1:9" ht="15.75" customHeight="1">
      <c r="A3" s="975" t="s">
        <v>58</v>
      </c>
      <c r="B3" s="1078"/>
      <c r="C3" s="1079"/>
      <c r="D3" s="1078"/>
      <c r="E3" s="1080"/>
      <c r="F3" s="1078"/>
      <c r="G3" s="1079"/>
      <c r="H3" s="1081"/>
      <c r="I3" s="1082"/>
    </row>
    <row r="4" spans="1:9" ht="15.75" customHeight="1">
      <c r="A4" s="975" t="s">
        <v>8</v>
      </c>
      <c r="B4" s="1078"/>
      <c r="C4" s="1079"/>
      <c r="D4" s="1078"/>
      <c r="E4" s="1080"/>
      <c r="F4" s="1078"/>
      <c r="G4" s="1079"/>
      <c r="H4" s="1081"/>
      <c r="I4" s="1082"/>
    </row>
    <row r="5" spans="1:9" ht="15.75" customHeight="1">
      <c r="A5" s="975" t="s">
        <v>9</v>
      </c>
      <c r="B5" s="1078"/>
      <c r="C5" s="1079"/>
      <c r="D5" s="1078"/>
      <c r="E5" s="1083"/>
      <c r="F5" s="1078"/>
      <c r="G5" s="1079"/>
      <c r="H5" s="1081"/>
      <c r="I5" s="1082"/>
    </row>
    <row r="6" spans="1:9" ht="15.75" customHeight="1">
      <c r="A6" s="975" t="s">
        <v>59</v>
      </c>
      <c r="B6" s="1078"/>
      <c r="C6" s="1079"/>
      <c r="D6" s="1078"/>
      <c r="E6" s="1080"/>
      <c r="F6" s="1078"/>
      <c r="G6" s="1079"/>
      <c r="H6" s="1081"/>
      <c r="I6" s="1082"/>
    </row>
    <row r="7" spans="1:9" ht="15.75" customHeight="1">
      <c r="A7" s="975" t="s">
        <v>60</v>
      </c>
      <c r="B7" s="1078"/>
      <c r="C7" s="1079"/>
      <c r="D7" s="1078"/>
      <c r="E7" s="1084" t="s">
        <v>61</v>
      </c>
      <c r="F7" s="1078"/>
      <c r="G7" s="1079"/>
      <c r="H7" s="1081"/>
      <c r="I7" s="1082"/>
    </row>
    <row r="8" spans="1:9" ht="15.75" customHeight="1">
      <c r="A8" s="975" t="s">
        <v>1980</v>
      </c>
      <c r="B8" s="1085"/>
      <c r="C8" s="1086"/>
      <c r="D8" s="1085"/>
      <c r="E8" s="1087"/>
      <c r="F8" s="1085"/>
      <c r="G8" s="1086"/>
      <c r="H8" s="1088"/>
      <c r="I8" s="1089"/>
    </row>
    <row r="9" spans="1:9" ht="15.75" customHeight="1">
      <c r="A9" s="975"/>
      <c r="B9" s="1085"/>
      <c r="C9" s="1086" t="s">
        <v>2014</v>
      </c>
      <c r="D9" s="1085"/>
      <c r="E9" s="1087"/>
      <c r="F9" s="1085"/>
      <c r="G9" s="1086"/>
      <c r="H9" s="1088"/>
      <c r="I9" s="1089"/>
    </row>
    <row r="10" spans="1:9" ht="15.75" customHeight="1">
      <c r="A10" s="988" t="s">
        <v>82</v>
      </c>
      <c r="B10" s="1085"/>
      <c r="C10" s="1086" t="s">
        <v>83</v>
      </c>
      <c r="D10" s="1085"/>
      <c r="E10" s="1087" t="s">
        <v>34</v>
      </c>
      <c r="F10" s="1085"/>
      <c r="G10" s="1086" t="s">
        <v>84</v>
      </c>
      <c r="H10" s="1081"/>
      <c r="I10" s="1089"/>
    </row>
    <row r="11" spans="1:9" ht="15.75" customHeight="1">
      <c r="A11" s="988" t="s">
        <v>89</v>
      </c>
      <c r="B11" s="1090" t="s">
        <v>6</v>
      </c>
      <c r="C11" s="1091" t="s">
        <v>87</v>
      </c>
      <c r="D11" s="1092" t="s">
        <v>6</v>
      </c>
      <c r="E11" s="1093" t="s">
        <v>87</v>
      </c>
      <c r="F11" s="1092" t="s">
        <v>6</v>
      </c>
      <c r="G11" s="1091" t="s">
        <v>87</v>
      </c>
      <c r="H11" s="1094" t="s">
        <v>35</v>
      </c>
      <c r="I11" s="1089" t="s">
        <v>85</v>
      </c>
    </row>
    <row r="12" spans="1:9" ht="15.75" customHeight="1">
      <c r="A12" s="975" t="s">
        <v>1379</v>
      </c>
      <c r="B12" s="1106">
        <v>10</v>
      </c>
      <c r="C12" s="1107">
        <v>495.5</v>
      </c>
      <c r="D12" s="1108">
        <v>0</v>
      </c>
      <c r="E12" s="1109">
        <v>0</v>
      </c>
      <c r="F12" s="1108">
        <v>10</v>
      </c>
      <c r="G12" s="1107">
        <v>495.5</v>
      </c>
      <c r="H12" s="1081">
        <v>76802.5</v>
      </c>
      <c r="I12" s="1082">
        <v>155</v>
      </c>
    </row>
    <row r="13" spans="1:9" ht="15.75" customHeight="1">
      <c r="A13" s="975" t="s">
        <v>36</v>
      </c>
      <c r="B13" s="1106">
        <v>90</v>
      </c>
      <c r="C13" s="1107">
        <v>4461</v>
      </c>
      <c r="D13" s="1108">
        <v>0</v>
      </c>
      <c r="E13" s="1109">
        <v>0</v>
      </c>
      <c r="F13" s="1108">
        <v>90</v>
      </c>
      <c r="G13" s="1107">
        <v>4461</v>
      </c>
      <c r="H13" s="1081" t="s">
        <v>1981</v>
      </c>
      <c r="I13" s="1082">
        <v>120.34</v>
      </c>
    </row>
    <row r="14" spans="1:9" ht="15.75" customHeight="1">
      <c r="A14" s="975" t="s">
        <v>213</v>
      </c>
      <c r="B14" s="1106"/>
      <c r="C14" s="1107">
        <v>0</v>
      </c>
      <c r="D14" s="1108">
        <v>35</v>
      </c>
      <c r="E14" s="1109">
        <v>1747.6</v>
      </c>
      <c r="F14" s="1108">
        <v>35</v>
      </c>
      <c r="G14" s="1107">
        <v>1747.6</v>
      </c>
      <c r="H14" s="1081" t="s">
        <v>1982</v>
      </c>
      <c r="I14" s="1082">
        <v>128.57</v>
      </c>
    </row>
    <row r="15" spans="1:9" ht="15.75" customHeight="1">
      <c r="A15" s="975" t="s">
        <v>1983</v>
      </c>
      <c r="B15" s="1106">
        <v>130</v>
      </c>
      <c r="C15" s="1107">
        <v>6471.5</v>
      </c>
      <c r="D15" s="1108">
        <v>0</v>
      </c>
      <c r="E15" s="1109">
        <v>0</v>
      </c>
      <c r="F15" s="1108">
        <v>130</v>
      </c>
      <c r="G15" s="1107">
        <v>6471.5</v>
      </c>
      <c r="H15" s="1081" t="s">
        <v>1984</v>
      </c>
      <c r="I15" s="1082">
        <v>122.55</v>
      </c>
    </row>
    <row r="16" spans="1:9" ht="15.75" customHeight="1">
      <c r="A16" s="975" t="s">
        <v>73</v>
      </c>
      <c r="B16" s="1106">
        <v>360</v>
      </c>
      <c r="C16" s="1107">
        <v>17898.5</v>
      </c>
      <c r="D16" s="1108">
        <v>0</v>
      </c>
      <c r="E16" s="1109">
        <v>0</v>
      </c>
      <c r="F16" s="1108">
        <v>360</v>
      </c>
      <c r="G16" s="1107">
        <v>17898.5</v>
      </c>
      <c r="H16" s="1081" t="s">
        <v>1985</v>
      </c>
      <c r="I16" s="1082">
        <v>94.9</v>
      </c>
    </row>
    <row r="17" spans="1:9" ht="15.75" customHeight="1">
      <c r="A17" s="975" t="s">
        <v>1247</v>
      </c>
      <c r="B17" s="1106">
        <v>95</v>
      </c>
      <c r="C17" s="1107">
        <v>4724.5</v>
      </c>
      <c r="D17" s="1108">
        <v>0</v>
      </c>
      <c r="E17" s="1109">
        <v>0</v>
      </c>
      <c r="F17" s="1108">
        <v>95</v>
      </c>
      <c r="G17" s="1107">
        <v>4724.5</v>
      </c>
      <c r="H17" s="1081">
        <v>500783.5</v>
      </c>
      <c r="I17" s="1082">
        <v>105.9971425547677</v>
      </c>
    </row>
    <row r="18" spans="1:9" ht="15.75" customHeight="1">
      <c r="A18" s="975" t="s">
        <v>219</v>
      </c>
      <c r="B18" s="1106">
        <v>210</v>
      </c>
      <c r="C18" s="1107">
        <v>10437</v>
      </c>
      <c r="D18" s="1108">
        <v>0</v>
      </c>
      <c r="E18" s="1109">
        <v>0</v>
      </c>
      <c r="F18" s="1108">
        <v>210</v>
      </c>
      <c r="G18" s="1107">
        <v>10437</v>
      </c>
      <c r="H18" s="1081" t="s">
        <v>1986</v>
      </c>
      <c r="I18" s="1082">
        <v>102.47</v>
      </c>
    </row>
    <row r="19" spans="1:9" ht="15.75" customHeight="1">
      <c r="A19" s="975" t="s">
        <v>1826</v>
      </c>
      <c r="B19" s="1106">
        <v>50</v>
      </c>
      <c r="C19" s="1107">
        <v>2491</v>
      </c>
      <c r="D19" s="1108">
        <v>0</v>
      </c>
      <c r="E19" s="1109">
        <v>0</v>
      </c>
      <c r="F19" s="1108">
        <v>50</v>
      </c>
      <c r="G19" s="1107">
        <v>2491</v>
      </c>
      <c r="H19" s="1081" t="s">
        <v>1987</v>
      </c>
      <c r="I19" s="1082">
        <v>127.42</v>
      </c>
    </row>
    <row r="20" spans="1:9" ht="15.75" customHeight="1">
      <c r="A20" s="975" t="s">
        <v>1953</v>
      </c>
      <c r="B20" s="1106">
        <v>10</v>
      </c>
      <c r="C20" s="1107">
        <v>497</v>
      </c>
      <c r="D20" s="1108">
        <v>0</v>
      </c>
      <c r="E20" s="1109">
        <v>0</v>
      </c>
      <c r="F20" s="1108">
        <v>10</v>
      </c>
      <c r="G20" s="1107">
        <v>497</v>
      </c>
      <c r="H20" s="1081">
        <v>52185</v>
      </c>
      <c r="I20" s="1082">
        <v>105</v>
      </c>
    </row>
    <row r="21" spans="1:9" ht="15.75" customHeight="1">
      <c r="A21" s="975" t="s">
        <v>41</v>
      </c>
      <c r="B21" s="1106">
        <v>20</v>
      </c>
      <c r="C21" s="1107">
        <v>994</v>
      </c>
      <c r="D21" s="1108">
        <v>0</v>
      </c>
      <c r="E21" s="1109">
        <v>0</v>
      </c>
      <c r="F21" s="1108">
        <v>20</v>
      </c>
      <c r="G21" s="1107">
        <v>994</v>
      </c>
      <c r="H21" s="1081" t="s">
        <v>1988</v>
      </c>
      <c r="I21" s="1082">
        <v>103.5</v>
      </c>
    </row>
    <row r="22" spans="1:9" ht="15.75" customHeight="1">
      <c r="A22" s="975" t="s">
        <v>174</v>
      </c>
      <c r="B22" s="1106">
        <v>60</v>
      </c>
      <c r="C22" s="1107">
        <v>2980.5</v>
      </c>
      <c r="D22" s="1108">
        <v>0</v>
      </c>
      <c r="E22" s="1109">
        <v>0</v>
      </c>
      <c r="F22" s="1108">
        <v>60</v>
      </c>
      <c r="G22" s="1107">
        <v>2980.5</v>
      </c>
      <c r="H22" s="1081" t="s">
        <v>1989</v>
      </c>
      <c r="I22" s="1082">
        <v>119.99</v>
      </c>
    </row>
    <row r="23" spans="1:9" ht="15.75" customHeight="1">
      <c r="A23" s="975" t="s">
        <v>176</v>
      </c>
      <c r="B23" s="1106">
        <v>110</v>
      </c>
      <c r="C23" s="1107">
        <v>5468.5</v>
      </c>
      <c r="D23" s="1108">
        <v>0</v>
      </c>
      <c r="E23" s="1109">
        <v>0</v>
      </c>
      <c r="F23" s="1108">
        <v>110</v>
      </c>
      <c r="G23" s="1107">
        <v>5468.5</v>
      </c>
      <c r="H23" s="1081" t="s">
        <v>1990</v>
      </c>
      <c r="I23" s="1082">
        <v>100.54</v>
      </c>
    </row>
    <row r="24" spans="1:9" ht="15.75" customHeight="1">
      <c r="A24" s="975" t="s">
        <v>42</v>
      </c>
      <c r="B24" s="1106">
        <v>50</v>
      </c>
      <c r="C24" s="1107">
        <v>2485</v>
      </c>
      <c r="D24" s="1108">
        <v>0</v>
      </c>
      <c r="E24" s="1109">
        <v>0</v>
      </c>
      <c r="F24" s="1108">
        <v>50</v>
      </c>
      <c r="G24" s="1107">
        <v>2485</v>
      </c>
      <c r="H24" s="1081" t="s">
        <v>1991</v>
      </c>
      <c r="I24" s="1082">
        <v>143.6</v>
      </c>
    </row>
    <row r="25" spans="1:9" ht="15.75" customHeight="1">
      <c r="A25" s="975" t="s">
        <v>43</v>
      </c>
      <c r="B25" s="1106">
        <v>415</v>
      </c>
      <c r="C25" s="1107">
        <v>20722</v>
      </c>
      <c r="D25" s="1108">
        <v>0</v>
      </c>
      <c r="E25" s="1109">
        <v>0</v>
      </c>
      <c r="F25" s="1108">
        <v>415</v>
      </c>
      <c r="G25" s="1107">
        <v>20722</v>
      </c>
      <c r="H25" s="1081" t="s">
        <v>1992</v>
      </c>
      <c r="I25" s="1082">
        <v>223.29</v>
      </c>
    </row>
    <row r="26" spans="1:9" ht="15.75" customHeight="1">
      <c r="A26" s="975" t="s">
        <v>44</v>
      </c>
      <c r="B26" s="1106">
        <v>30</v>
      </c>
      <c r="C26" s="1107">
        <v>1489.5</v>
      </c>
      <c r="D26" s="1108">
        <v>10</v>
      </c>
      <c r="E26" s="1109">
        <v>496.8</v>
      </c>
      <c r="F26" s="1108">
        <v>40</v>
      </c>
      <c r="G26" s="1107">
        <v>1986.3</v>
      </c>
      <c r="H26" s="1081" t="s">
        <v>1993</v>
      </c>
      <c r="I26" s="1082">
        <v>101.25</v>
      </c>
    </row>
    <row r="27" spans="1:9" ht="15.75" customHeight="1">
      <c r="A27" s="975" t="s">
        <v>45</v>
      </c>
      <c r="B27" s="1106">
        <v>70</v>
      </c>
      <c r="C27" s="1107">
        <v>3476</v>
      </c>
      <c r="D27" s="1108">
        <v>0</v>
      </c>
      <c r="E27" s="1109">
        <v>0</v>
      </c>
      <c r="F27" s="1108">
        <v>70</v>
      </c>
      <c r="G27" s="1107">
        <v>3476</v>
      </c>
      <c r="H27" s="1081" t="s">
        <v>1994</v>
      </c>
      <c r="I27" s="1082">
        <v>127.44</v>
      </c>
    </row>
    <row r="28" spans="1:9" ht="15.75" customHeight="1">
      <c r="A28" s="975" t="s">
        <v>55</v>
      </c>
      <c r="B28" s="1106">
        <v>10</v>
      </c>
      <c r="C28" s="1107">
        <v>498</v>
      </c>
      <c r="D28" s="1108">
        <v>0</v>
      </c>
      <c r="E28" s="1109">
        <v>0</v>
      </c>
      <c r="F28" s="1108">
        <v>10</v>
      </c>
      <c r="G28" s="1107">
        <v>498</v>
      </c>
      <c r="H28" s="1081">
        <v>38844</v>
      </c>
      <c r="I28" s="1082">
        <v>78</v>
      </c>
    </row>
    <row r="29" spans="1:9" ht="15.75" customHeight="1">
      <c r="A29" s="975" t="s">
        <v>186</v>
      </c>
      <c r="B29" s="1106">
        <v>190</v>
      </c>
      <c r="C29" s="1107">
        <v>9437</v>
      </c>
      <c r="D29" s="1108">
        <v>0</v>
      </c>
      <c r="E29" s="1109">
        <v>0</v>
      </c>
      <c r="F29" s="1108">
        <v>190</v>
      </c>
      <c r="G29" s="1107">
        <v>9437</v>
      </c>
      <c r="H29" s="1081" t="s">
        <v>1995</v>
      </c>
      <c r="I29" s="1082">
        <v>113.65</v>
      </c>
    </row>
    <row r="30" spans="1:9" ht="15.75" customHeight="1">
      <c r="A30" s="975" t="s">
        <v>230</v>
      </c>
      <c r="B30" s="1106">
        <v>8</v>
      </c>
      <c r="C30" s="1107">
        <v>398</v>
      </c>
      <c r="D30" s="1108">
        <v>0</v>
      </c>
      <c r="E30" s="1109">
        <v>0</v>
      </c>
      <c r="F30" s="1108">
        <v>8</v>
      </c>
      <c r="G30" s="1107">
        <v>398</v>
      </c>
      <c r="H30" s="1081">
        <v>42984</v>
      </c>
      <c r="I30" s="1082">
        <v>108</v>
      </c>
    </row>
    <row r="31" spans="1:9" ht="15.75" customHeight="1">
      <c r="A31" s="975" t="s">
        <v>46</v>
      </c>
      <c r="B31" s="1106">
        <v>175</v>
      </c>
      <c r="C31" s="1107">
        <v>8693</v>
      </c>
      <c r="D31" s="1108">
        <v>0</v>
      </c>
      <c r="E31" s="1109">
        <v>0</v>
      </c>
      <c r="F31" s="1108">
        <v>175</v>
      </c>
      <c r="G31" s="1107">
        <v>8693</v>
      </c>
      <c r="H31" s="1081" t="s">
        <v>1996</v>
      </c>
      <c r="I31" s="1082">
        <v>148.1</v>
      </c>
    </row>
    <row r="32" spans="1:9" ht="15.75" customHeight="1">
      <c r="A32" s="975" t="s">
        <v>276</v>
      </c>
      <c r="B32" s="1106">
        <v>20</v>
      </c>
      <c r="C32" s="1107">
        <v>992.5</v>
      </c>
      <c r="D32" s="1108">
        <v>0</v>
      </c>
      <c r="E32" s="1109">
        <v>0</v>
      </c>
      <c r="F32" s="1108">
        <v>20</v>
      </c>
      <c r="G32" s="1107">
        <v>992.5</v>
      </c>
      <c r="H32" s="1081">
        <v>91802.5</v>
      </c>
      <c r="I32" s="1082">
        <v>92.5</v>
      </c>
    </row>
    <row r="33" spans="1:9" ht="15.75" customHeight="1">
      <c r="A33" s="975" t="s">
        <v>194</v>
      </c>
      <c r="B33" s="1106">
        <v>40</v>
      </c>
      <c r="C33" s="1107">
        <v>1985</v>
      </c>
      <c r="D33" s="1108">
        <v>0</v>
      </c>
      <c r="E33" s="1109">
        <v>0</v>
      </c>
      <c r="F33" s="1108">
        <v>40</v>
      </c>
      <c r="G33" s="1107">
        <v>1985</v>
      </c>
      <c r="H33" s="1081" t="s">
        <v>1997</v>
      </c>
      <c r="I33" s="1082">
        <v>137.25</v>
      </c>
    </row>
    <row r="34" spans="1:9" ht="15.75" customHeight="1">
      <c r="A34" s="975" t="s">
        <v>51</v>
      </c>
      <c r="B34" s="1106">
        <v>225</v>
      </c>
      <c r="C34" s="1107">
        <v>11181</v>
      </c>
      <c r="D34" s="1108">
        <v>20</v>
      </c>
      <c r="E34" s="1109">
        <v>995.2</v>
      </c>
      <c r="F34" s="1108">
        <v>245</v>
      </c>
      <c r="G34" s="1107">
        <v>12176.199999999999</v>
      </c>
      <c r="H34" s="1081">
        <v>1364913.9000000001</v>
      </c>
      <c r="I34" s="1082">
        <v>112.09686930240964</v>
      </c>
    </row>
    <row r="35" spans="1:9" ht="15.75" customHeight="1">
      <c r="A35" s="975" t="s">
        <v>52</v>
      </c>
      <c r="B35" s="1106">
        <v>10</v>
      </c>
      <c r="C35" s="1107">
        <v>497</v>
      </c>
      <c r="D35" s="1108">
        <v>8</v>
      </c>
      <c r="E35" s="1109">
        <v>399.5</v>
      </c>
      <c r="F35" s="1108">
        <v>18</v>
      </c>
      <c r="G35" s="1107">
        <v>896.5</v>
      </c>
      <c r="H35" s="1081" t="s">
        <v>1998</v>
      </c>
      <c r="I35" s="1082">
        <v>113.48</v>
      </c>
    </row>
    <row r="36" spans="1:9" ht="15.75" customHeight="1">
      <c r="A36" s="975" t="s">
        <v>281</v>
      </c>
      <c r="B36" s="1106">
        <v>20</v>
      </c>
      <c r="C36" s="1107">
        <v>998.5</v>
      </c>
      <c r="D36" s="1108">
        <v>0</v>
      </c>
      <c r="E36" s="1109">
        <v>0</v>
      </c>
      <c r="F36" s="1108">
        <v>20</v>
      </c>
      <c r="G36" s="1107">
        <v>998.5</v>
      </c>
      <c r="H36" s="1081" t="s">
        <v>1999</v>
      </c>
      <c r="I36" s="1082">
        <v>123</v>
      </c>
    </row>
    <row r="37" spans="1:9" ht="15.75" customHeight="1">
      <c r="A37" s="975" t="s">
        <v>149</v>
      </c>
      <c r="B37" s="1106">
        <v>5</v>
      </c>
      <c r="C37" s="1107">
        <v>249.5</v>
      </c>
      <c r="D37" s="1108">
        <v>5</v>
      </c>
      <c r="E37" s="1109">
        <v>249</v>
      </c>
      <c r="F37" s="1108">
        <v>10</v>
      </c>
      <c r="G37" s="1107">
        <v>498.5</v>
      </c>
      <c r="H37" s="1081">
        <v>36140</v>
      </c>
      <c r="I37" s="1082">
        <v>72.5</v>
      </c>
    </row>
    <row r="38" spans="1:9" ht="15.75" customHeight="1">
      <c r="A38" s="975" t="s">
        <v>707</v>
      </c>
      <c r="B38" s="1106">
        <v>60</v>
      </c>
      <c r="C38" s="1107">
        <v>2983.5</v>
      </c>
      <c r="D38" s="1108">
        <v>0</v>
      </c>
      <c r="E38" s="1109">
        <v>0</v>
      </c>
      <c r="F38" s="1108">
        <v>60</v>
      </c>
      <c r="G38" s="1107">
        <v>2983.5</v>
      </c>
      <c r="H38" s="1081" t="s">
        <v>2000</v>
      </c>
      <c r="I38" s="1082">
        <v>101.02</v>
      </c>
    </row>
    <row r="39" spans="1:9" ht="15.75" customHeight="1">
      <c r="A39" s="975" t="s">
        <v>374</v>
      </c>
      <c r="B39" s="1106">
        <v>140</v>
      </c>
      <c r="C39" s="1107">
        <v>6962.5</v>
      </c>
      <c r="D39" s="1108">
        <v>0</v>
      </c>
      <c r="E39" s="1109">
        <v>0</v>
      </c>
      <c r="F39" s="1108">
        <v>140</v>
      </c>
      <c r="G39" s="1107">
        <v>6962.5</v>
      </c>
      <c r="H39" s="1081">
        <v>706193</v>
      </c>
      <c r="I39" s="1082">
        <v>101.428078994614</v>
      </c>
    </row>
    <row r="40" spans="1:9" ht="15.75" customHeight="1">
      <c r="A40" s="975" t="s">
        <v>53</v>
      </c>
      <c r="B40" s="1106"/>
      <c r="C40" s="1107">
        <v>0</v>
      </c>
      <c r="D40" s="1108">
        <v>5</v>
      </c>
      <c r="E40" s="1109">
        <v>208.5</v>
      </c>
      <c r="F40" s="1108">
        <v>5</v>
      </c>
      <c r="G40" s="1107">
        <v>208.5</v>
      </c>
      <c r="H40" s="1081">
        <v>20308.5</v>
      </c>
      <c r="I40" s="1082">
        <v>97.4</v>
      </c>
    </row>
    <row r="41" spans="1:9" ht="15.75" customHeight="1">
      <c r="A41" s="975" t="s">
        <v>54</v>
      </c>
      <c r="B41" s="1106">
        <v>437</v>
      </c>
      <c r="C41" s="1107">
        <v>21737.5</v>
      </c>
      <c r="D41" s="1108">
        <v>0</v>
      </c>
      <c r="E41" s="1109">
        <v>0</v>
      </c>
      <c r="F41" s="1108">
        <v>437</v>
      </c>
      <c r="G41" s="1107">
        <v>21737.5</v>
      </c>
      <c r="H41" s="1081" t="s">
        <v>2001</v>
      </c>
      <c r="I41" s="1082">
        <v>100.1</v>
      </c>
    </row>
    <row r="42" spans="1:9" ht="15.75" customHeight="1">
      <c r="A42" s="975" t="s">
        <v>1309</v>
      </c>
      <c r="B42" s="1106">
        <v>20</v>
      </c>
      <c r="C42" s="1107">
        <v>994</v>
      </c>
      <c r="D42" s="1108">
        <v>0</v>
      </c>
      <c r="E42" s="1109">
        <v>0</v>
      </c>
      <c r="F42" s="1108">
        <v>20</v>
      </c>
      <c r="G42" s="1107">
        <v>994</v>
      </c>
      <c r="H42" s="1081" t="s">
        <v>2002</v>
      </c>
      <c r="I42" s="1082">
        <v>114.5</v>
      </c>
    </row>
    <row r="43" spans="1:9" ht="15.75" customHeight="1">
      <c r="A43" s="975" t="s">
        <v>71</v>
      </c>
      <c r="B43" s="1106">
        <v>21</v>
      </c>
      <c r="C43" s="1107">
        <v>1047</v>
      </c>
      <c r="D43" s="1108">
        <v>10</v>
      </c>
      <c r="E43" s="1109">
        <v>498</v>
      </c>
      <c r="F43" s="1108">
        <v>31</v>
      </c>
      <c r="G43" s="1107">
        <v>1545</v>
      </c>
      <c r="H43" s="1081" t="s">
        <v>2003</v>
      </c>
      <c r="I43" s="1082">
        <v>108.4</v>
      </c>
    </row>
    <row r="44" spans="1:9" ht="15.75" customHeight="1">
      <c r="A44" s="975" t="s">
        <v>874</v>
      </c>
      <c r="B44" s="1106"/>
      <c r="C44" s="1107">
        <v>0</v>
      </c>
      <c r="D44" s="1108">
        <v>120</v>
      </c>
      <c r="E44" s="1109">
        <v>5975.2</v>
      </c>
      <c r="F44" s="1108">
        <v>120</v>
      </c>
      <c r="G44" s="1107">
        <v>5975.2</v>
      </c>
      <c r="H44" s="1081" t="s">
        <v>2004</v>
      </c>
      <c r="I44" s="1082">
        <v>128.92</v>
      </c>
    </row>
    <row r="45" spans="1:9" ht="15.75" customHeight="1">
      <c r="A45" s="975" t="s">
        <v>57</v>
      </c>
      <c r="B45" s="1106">
        <v>30</v>
      </c>
      <c r="C45" s="1107">
        <v>1488</v>
      </c>
      <c r="D45" s="1108">
        <v>0</v>
      </c>
      <c r="E45" s="1109">
        <v>0</v>
      </c>
      <c r="F45" s="1108">
        <v>30</v>
      </c>
      <c r="G45" s="1107">
        <v>1488</v>
      </c>
      <c r="H45" s="1081" t="s">
        <v>2005</v>
      </c>
      <c r="I45" s="1082">
        <v>94.64</v>
      </c>
    </row>
    <row r="46" spans="1:9" ht="15.75" customHeight="1">
      <c r="A46" s="975" t="s">
        <v>19</v>
      </c>
      <c r="B46" s="1106">
        <v>3121</v>
      </c>
      <c r="C46" s="1107" t="s">
        <v>2006</v>
      </c>
      <c r="D46" s="1108">
        <v>213</v>
      </c>
      <c r="E46" s="1109">
        <v>10569.8</v>
      </c>
      <c r="F46" s="1108">
        <v>3334</v>
      </c>
      <c r="G46" s="1107" t="s">
        <v>2007</v>
      </c>
      <c r="H46" s="1081" t="s">
        <v>2008</v>
      </c>
      <c r="I46" s="1082">
        <v>125.06</v>
      </c>
    </row>
    <row r="47" spans="1:9" ht="15.75" customHeight="1">
      <c r="A47" s="975"/>
      <c r="B47" s="1097"/>
      <c r="C47" s="1097"/>
      <c r="D47" s="1097"/>
      <c r="E47" s="1097"/>
      <c r="F47" s="1097"/>
      <c r="G47" s="1097"/>
      <c r="H47" s="1097"/>
      <c r="I47" s="1097"/>
    </row>
    <row r="48" spans="1:9" ht="15.75" customHeight="1">
      <c r="A48" s="975" t="s">
        <v>62</v>
      </c>
      <c r="B48" s="1098"/>
      <c r="C48" s="1099"/>
      <c r="D48" s="1098"/>
      <c r="E48" s="1100"/>
      <c r="F48" s="1098"/>
      <c r="G48" s="1099"/>
      <c r="H48" s="1101"/>
      <c r="I48" s="1102"/>
    </row>
    <row r="49" spans="1:9" ht="15.75" customHeight="1">
      <c r="A49" s="975" t="s">
        <v>63</v>
      </c>
      <c r="B49" s="1098"/>
      <c r="C49" s="1099"/>
      <c r="D49" s="1098"/>
      <c r="E49" s="1100"/>
      <c r="F49" s="1098"/>
      <c r="G49" s="1099" t="s">
        <v>64</v>
      </c>
      <c r="H49" s="1103"/>
      <c r="I49" s="1104"/>
    </row>
    <row r="50" spans="1:9" ht="15.75" customHeight="1">
      <c r="A50" s="975" t="s">
        <v>157</v>
      </c>
      <c r="B50" s="1098"/>
      <c r="C50" s="1099"/>
      <c r="D50" s="1098"/>
      <c r="E50" s="1018"/>
      <c r="F50" s="1018"/>
      <c r="G50" s="1103" t="s">
        <v>66</v>
      </c>
      <c r="H50" s="1018"/>
      <c r="I50" s="1105"/>
    </row>
    <row r="51" spans="1:9" ht="15.75" customHeight="1">
      <c r="A51" s="975" t="s">
        <v>158</v>
      </c>
      <c r="B51" s="1098"/>
      <c r="C51" s="1099"/>
      <c r="D51" s="1098"/>
      <c r="E51" s="1100"/>
      <c r="F51" s="1098"/>
      <c r="G51" s="1099"/>
      <c r="H51" s="1103"/>
      <c r="I51" s="1105"/>
    </row>
    <row r="52" spans="1:9" ht="15.75" customHeight="1">
      <c r="A52" s="975" t="s">
        <v>159</v>
      </c>
      <c r="B52" s="1098"/>
      <c r="C52" s="1099"/>
      <c r="D52" s="1098"/>
      <c r="E52" s="1100"/>
      <c r="F52" s="1098"/>
      <c r="G52" s="1099"/>
      <c r="H52" s="1103"/>
      <c r="I52" s="1105"/>
    </row>
    <row r="53" spans="2:9" ht="15.75" customHeight="1">
      <c r="B53" s="762"/>
      <c r="C53" s="844"/>
      <c r="D53" s="838"/>
      <c r="E53" s="837"/>
      <c r="F53" s="838"/>
      <c r="G53" s="844"/>
      <c r="H53" s="969"/>
      <c r="I53" s="839"/>
    </row>
    <row r="54" spans="3:9" ht="15.75" customHeight="1">
      <c r="C54" s="405"/>
      <c r="D54" s="388"/>
      <c r="E54" s="399"/>
      <c r="F54" s="388"/>
      <c r="G54" s="405"/>
      <c r="H54" s="970"/>
      <c r="I54" s="391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D.T. Road Askarabad (1st floor)
Chattogram-4224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1375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1376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1377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1378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1379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1380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1381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1382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1383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1384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1385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1386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1387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1388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1389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1390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1391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1392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1393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1394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1395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1396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1397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1398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1399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1400</v>
      </c>
      <c r="I41" s="392">
        <v>172.38</v>
      </c>
      <c r="J41" s="210"/>
    </row>
    <row r="42" spans="1:10" ht="13.5" customHeight="1">
      <c r="A42" s="135" t="s">
        <v>1401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1402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1403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1404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1405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1406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1407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1408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1409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1410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1411</v>
      </c>
      <c r="D55" s="441">
        <v>920</v>
      </c>
      <c r="E55" s="442">
        <v>45922.7</v>
      </c>
      <c r="F55" s="441">
        <v>4077</v>
      </c>
      <c r="G55" s="407" t="s">
        <v>1412</v>
      </c>
      <c r="H55" s="369" t="s">
        <v>1413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1138" t="s">
        <v>8</v>
      </c>
      <c r="B4" s="1138"/>
      <c r="C4" s="5"/>
      <c r="D4" s="5"/>
      <c r="E4" s="5"/>
      <c r="F4" s="5"/>
      <c r="G4" s="21"/>
      <c r="H4" s="18"/>
    </row>
    <row r="5" spans="1:8" ht="15" customHeight="1">
      <c r="A5" s="1138" t="s">
        <v>9</v>
      </c>
      <c r="B5" s="1138"/>
      <c r="C5" s="1138"/>
      <c r="D5" s="1"/>
      <c r="E5" s="5"/>
      <c r="F5" s="5"/>
      <c r="G5" s="21"/>
      <c r="H5" s="18"/>
    </row>
    <row r="6" spans="1:8" ht="15" customHeight="1">
      <c r="A6" s="1138" t="s">
        <v>10</v>
      </c>
      <c r="B6" s="1138"/>
      <c r="C6" s="1138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0</v>
      </c>
      <c r="D35" s="235">
        <f>'[1]Uptodate'!$E$55</f>
        <v>0</v>
      </c>
      <c r="E35" s="291">
        <f>'[1]Uptodate'!$G$55</f>
        <v>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 t="str">
        <f>'[1]Uptodate'!$D$57</f>
        <v>Pkgs.</v>
      </c>
      <c r="D37" s="236" t="str">
        <f>'[1]Uptodate'!$E$57</f>
        <v>Qty.(Kilo.)</v>
      </c>
      <c r="E37" s="296" t="str">
        <f>'[1]Uptodate'!$G$57</f>
        <v>Av.Pr.</v>
      </c>
      <c r="F37" s="302" t="str">
        <f>'[1]Uptodate'!$C$57</f>
        <v>S/D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1138" t="s">
        <v>8</v>
      </c>
      <c r="B4" s="1138"/>
      <c r="C4" s="5"/>
      <c r="D4" s="5"/>
      <c r="E4" s="5"/>
      <c r="F4" s="5"/>
      <c r="G4" s="21"/>
      <c r="H4" s="18"/>
    </row>
    <row r="5" spans="1:8" ht="15" customHeight="1">
      <c r="A5" s="1138" t="s">
        <v>9</v>
      </c>
      <c r="B5" s="1138"/>
      <c r="C5" s="1138"/>
      <c r="D5" s="1"/>
      <c r="E5" s="5"/>
      <c r="F5" s="5"/>
      <c r="G5" s="21"/>
      <c r="H5" s="18"/>
    </row>
    <row r="6" spans="1:8" ht="15" customHeight="1">
      <c r="A6" s="1138" t="s">
        <v>10</v>
      </c>
      <c r="B6" s="1138"/>
      <c r="C6" s="1138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0</v>
      </c>
      <c r="D35" s="235">
        <f>'[1]Uptodate'!$E$55</f>
        <v>0</v>
      </c>
      <c r="E35" s="291">
        <f>'[1]Uptodate'!$G$55</f>
        <v>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 t="str">
        <f>'[1]Uptodate'!$D$57</f>
        <v>Pkgs.</v>
      </c>
      <c r="D37" s="236" t="str">
        <f>'[1]Uptodate'!$E$57</f>
        <v>Qty.(Kilo.)</v>
      </c>
      <c r="E37" s="296" t="str">
        <f>'[1]Uptodate'!$G$57</f>
        <v>Av.Pr.</v>
      </c>
      <c r="F37" s="302" t="str">
        <f>'[1]Uptodate'!$C$57</f>
        <v>S/D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>
        <f>'[1]Uptodate'!$C$56</f>
        <v>0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12" sqref="B12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9.140625" style="957" customWidth="1"/>
  </cols>
  <sheetData>
    <row r="1" spans="1:9" ht="15.75" customHeight="1">
      <c r="A1" s="975" t="s">
        <v>1944</v>
      </c>
      <c r="B1" s="1078"/>
      <c r="C1" s="1079"/>
      <c r="D1" s="1078"/>
      <c r="E1" s="1080"/>
      <c r="F1" s="1078"/>
      <c r="G1" s="1079"/>
      <c r="H1" s="1081"/>
      <c r="I1" s="1082"/>
    </row>
    <row r="2" spans="1:9" ht="15.75" customHeight="1">
      <c r="A2" s="975" t="s">
        <v>1945</v>
      </c>
      <c r="B2" s="1078"/>
      <c r="C2" s="1079"/>
      <c r="D2" s="1078"/>
      <c r="E2" s="1080"/>
      <c r="F2" s="1078"/>
      <c r="G2" s="1079"/>
      <c r="H2" s="1081"/>
      <c r="I2" s="1082"/>
    </row>
    <row r="3" spans="1:9" ht="15.75" customHeight="1">
      <c r="A3" s="975" t="s">
        <v>58</v>
      </c>
      <c r="B3" s="1078"/>
      <c r="C3" s="1079"/>
      <c r="D3" s="1078"/>
      <c r="E3" s="1080"/>
      <c r="F3" s="1078"/>
      <c r="G3" s="1079"/>
      <c r="H3" s="1081"/>
      <c r="I3" s="1082"/>
    </row>
    <row r="4" spans="1:9" ht="15.75" customHeight="1">
      <c r="A4" s="975" t="s">
        <v>8</v>
      </c>
      <c r="B4" s="1078"/>
      <c r="C4" s="1079"/>
      <c r="D4" s="1078"/>
      <c r="E4" s="1080"/>
      <c r="F4" s="1078"/>
      <c r="G4" s="1079"/>
      <c r="H4" s="1081"/>
      <c r="I4" s="1082"/>
    </row>
    <row r="5" spans="1:9" ht="15.75" customHeight="1">
      <c r="A5" s="975" t="s">
        <v>9</v>
      </c>
      <c r="B5" s="1078"/>
      <c r="C5" s="1079"/>
      <c r="D5" s="1078"/>
      <c r="E5" s="1083"/>
      <c r="F5" s="1078"/>
      <c r="G5" s="1079"/>
      <c r="H5" s="1081"/>
      <c r="I5" s="1082"/>
    </row>
    <row r="6" spans="1:9" ht="15.75" customHeight="1">
      <c r="A6" s="975" t="s">
        <v>59</v>
      </c>
      <c r="B6" s="1078"/>
      <c r="C6" s="1079"/>
      <c r="D6" s="1078"/>
      <c r="E6" s="1080"/>
      <c r="F6" s="1078"/>
      <c r="G6" s="1079"/>
      <c r="H6" s="1081"/>
      <c r="I6" s="1082"/>
    </row>
    <row r="7" spans="1:9" ht="15.75" customHeight="1">
      <c r="A7" s="975" t="s">
        <v>60</v>
      </c>
      <c r="B7" s="1078"/>
      <c r="C7" s="1079"/>
      <c r="D7" s="1078"/>
      <c r="E7" s="1084" t="s">
        <v>61</v>
      </c>
      <c r="F7" s="1078"/>
      <c r="G7" s="1079"/>
      <c r="H7" s="1081"/>
      <c r="I7" s="1082"/>
    </row>
    <row r="8" spans="1:9" ht="15.75" customHeight="1">
      <c r="A8" s="975" t="s">
        <v>1946</v>
      </c>
      <c r="B8" s="1085"/>
      <c r="C8" s="1086"/>
      <c r="D8" s="1085"/>
      <c r="E8" s="1087"/>
      <c r="F8" s="1085"/>
      <c r="G8" s="1086"/>
      <c r="H8" s="1088"/>
      <c r="I8" s="1089"/>
    </row>
    <row r="9" spans="1:9" ht="15.75" customHeight="1">
      <c r="A9" s="975"/>
      <c r="B9" s="1085"/>
      <c r="C9" s="1086" t="s">
        <v>1947</v>
      </c>
      <c r="D9" s="1085"/>
      <c r="E9" s="1087"/>
      <c r="F9" s="1085"/>
      <c r="G9" s="1086"/>
      <c r="H9" s="1088"/>
      <c r="I9" s="1089"/>
    </row>
    <row r="10" spans="1:9" ht="15.75" customHeight="1">
      <c r="A10" s="988" t="s">
        <v>82</v>
      </c>
      <c r="B10" s="1085"/>
      <c r="C10" s="1086" t="s">
        <v>83</v>
      </c>
      <c r="D10" s="1085"/>
      <c r="E10" s="1087" t="s">
        <v>34</v>
      </c>
      <c r="F10" s="1085"/>
      <c r="G10" s="1086" t="s">
        <v>84</v>
      </c>
      <c r="H10" s="1081"/>
      <c r="I10" s="1089"/>
    </row>
    <row r="11" spans="1:9" ht="15.75" customHeight="1">
      <c r="A11" s="988" t="s">
        <v>89</v>
      </c>
      <c r="B11" s="1090" t="s">
        <v>6</v>
      </c>
      <c r="C11" s="1091" t="s">
        <v>87</v>
      </c>
      <c r="D11" s="1092" t="s">
        <v>6</v>
      </c>
      <c r="E11" s="1093" t="s">
        <v>87</v>
      </c>
      <c r="F11" s="1092" t="s">
        <v>6</v>
      </c>
      <c r="G11" s="1091" t="s">
        <v>87</v>
      </c>
      <c r="H11" s="1094" t="s">
        <v>35</v>
      </c>
      <c r="I11" s="1089" t="s">
        <v>85</v>
      </c>
    </row>
    <row r="12" spans="1:9" ht="15.75" customHeight="1">
      <c r="A12" s="1013" t="s">
        <v>1379</v>
      </c>
      <c r="B12" s="1095">
        <v>2</v>
      </c>
      <c r="C12" s="1015">
        <v>99.5</v>
      </c>
      <c r="D12" s="1096">
        <v>10</v>
      </c>
      <c r="E12" s="1015">
        <v>497.6</v>
      </c>
      <c r="F12" s="1096">
        <v>12</v>
      </c>
      <c r="G12" s="1015">
        <v>597.1</v>
      </c>
      <c r="H12" s="1017">
        <v>145776.8</v>
      </c>
      <c r="I12" s="1017">
        <v>244.14134985764525</v>
      </c>
    </row>
    <row r="13" spans="1:9" ht="15.75" customHeight="1">
      <c r="A13" s="1013" t="s">
        <v>36</v>
      </c>
      <c r="B13" s="1096">
        <v>200</v>
      </c>
      <c r="C13" s="1015">
        <v>9973</v>
      </c>
      <c r="D13" s="1096">
        <v>0</v>
      </c>
      <c r="E13" s="1015">
        <v>0</v>
      </c>
      <c r="F13" s="1096">
        <v>200</v>
      </c>
      <c r="G13" s="1015">
        <v>9973</v>
      </c>
      <c r="H13" s="1017" t="s">
        <v>1948</v>
      </c>
      <c r="I13" s="1017">
        <v>155.47</v>
      </c>
    </row>
    <row r="14" spans="1:9" ht="15.75" customHeight="1">
      <c r="A14" s="1013" t="s">
        <v>213</v>
      </c>
      <c r="B14" s="1096">
        <v>103</v>
      </c>
      <c r="C14" s="1015">
        <v>5124.5</v>
      </c>
      <c r="D14" s="1096">
        <v>0</v>
      </c>
      <c r="E14" s="1015">
        <v>0</v>
      </c>
      <c r="F14" s="1096">
        <v>103</v>
      </c>
      <c r="G14" s="1015">
        <v>5124.5</v>
      </c>
      <c r="H14" s="1017">
        <v>709312</v>
      </c>
      <c r="I14" s="1017">
        <v>138.41584544833643</v>
      </c>
    </row>
    <row r="15" spans="1:9" ht="15.75" customHeight="1">
      <c r="A15" s="1013" t="s">
        <v>37</v>
      </c>
      <c r="B15" s="1096">
        <v>275</v>
      </c>
      <c r="C15" s="1015">
        <v>13681</v>
      </c>
      <c r="D15" s="1096">
        <v>0</v>
      </c>
      <c r="E15" s="1015">
        <v>0</v>
      </c>
      <c r="F15" s="1096">
        <v>275</v>
      </c>
      <c r="G15" s="1015">
        <v>13681</v>
      </c>
      <c r="H15" s="1017" t="s">
        <v>1949</v>
      </c>
      <c r="I15" s="1017">
        <v>112.44</v>
      </c>
    </row>
    <row r="16" spans="1:9" ht="15.75" customHeight="1">
      <c r="A16" s="1013" t="s">
        <v>586</v>
      </c>
      <c r="B16" s="1095"/>
      <c r="C16" s="1015">
        <v>0</v>
      </c>
      <c r="D16" s="1096">
        <v>60</v>
      </c>
      <c r="E16" s="1015">
        <v>2992</v>
      </c>
      <c r="F16" s="1096">
        <v>60</v>
      </c>
      <c r="G16" s="1015">
        <v>2992</v>
      </c>
      <c r="H16" s="1017" t="s">
        <v>1950</v>
      </c>
      <c r="I16" s="1017">
        <v>101</v>
      </c>
    </row>
    <row r="17" spans="1:9" ht="15.75" customHeight="1">
      <c r="A17" s="1013" t="s">
        <v>73</v>
      </c>
      <c r="B17" s="1096">
        <v>20</v>
      </c>
      <c r="C17" s="1015">
        <v>998.5</v>
      </c>
      <c r="D17" s="1096">
        <v>0</v>
      </c>
      <c r="E17" s="1015">
        <v>0</v>
      </c>
      <c r="F17" s="1096">
        <v>20</v>
      </c>
      <c r="G17" s="1015">
        <v>998.5</v>
      </c>
      <c r="H17" s="1017">
        <v>98850</v>
      </c>
      <c r="I17" s="1017">
        <v>99</v>
      </c>
    </row>
    <row r="18" spans="1:9" ht="15.75" customHeight="1">
      <c r="A18" s="1013" t="s">
        <v>1247</v>
      </c>
      <c r="B18" s="1096">
        <v>70</v>
      </c>
      <c r="C18" s="1015">
        <v>3483.5</v>
      </c>
      <c r="D18" s="1096">
        <v>0</v>
      </c>
      <c r="E18" s="1015">
        <v>0</v>
      </c>
      <c r="F18" s="1096">
        <v>70</v>
      </c>
      <c r="G18" s="1015">
        <v>3483.5</v>
      </c>
      <c r="H18" s="1017" t="s">
        <v>1951</v>
      </c>
      <c r="I18" s="1017">
        <v>126.01</v>
      </c>
    </row>
    <row r="19" spans="1:9" ht="15.75" customHeight="1">
      <c r="A19" s="1013" t="s">
        <v>358</v>
      </c>
      <c r="B19" s="1096">
        <v>50</v>
      </c>
      <c r="C19" s="1015">
        <v>2488</v>
      </c>
      <c r="D19" s="1096">
        <v>0</v>
      </c>
      <c r="E19" s="1015">
        <v>0</v>
      </c>
      <c r="F19" s="1096">
        <v>50</v>
      </c>
      <c r="G19" s="1015">
        <v>2488</v>
      </c>
      <c r="H19" s="1017" t="s">
        <v>1952</v>
      </c>
      <c r="I19" s="1017">
        <v>149.63</v>
      </c>
    </row>
    <row r="20" spans="1:9" ht="15.75" customHeight="1">
      <c r="A20" s="1013" t="s">
        <v>1953</v>
      </c>
      <c r="B20" s="1096">
        <v>30</v>
      </c>
      <c r="C20" s="1015">
        <v>1491</v>
      </c>
      <c r="D20" s="1096">
        <v>20</v>
      </c>
      <c r="E20" s="1015">
        <v>996</v>
      </c>
      <c r="F20" s="1096">
        <v>50</v>
      </c>
      <c r="G20" s="1015">
        <v>2487</v>
      </c>
      <c r="H20" s="1017" t="s">
        <v>1954</v>
      </c>
      <c r="I20" s="1017">
        <v>102.79</v>
      </c>
    </row>
    <row r="21" spans="1:9" ht="15.75" customHeight="1">
      <c r="A21" s="1013" t="s">
        <v>40</v>
      </c>
      <c r="B21" s="1096">
        <v>11</v>
      </c>
      <c r="C21" s="1015">
        <v>548</v>
      </c>
      <c r="D21" s="1096">
        <v>0</v>
      </c>
      <c r="E21" s="1015">
        <v>0</v>
      </c>
      <c r="F21" s="1096">
        <v>11</v>
      </c>
      <c r="G21" s="1015">
        <v>548</v>
      </c>
      <c r="H21" s="1017">
        <v>84036.5</v>
      </c>
      <c r="I21" s="1017">
        <v>153.35</v>
      </c>
    </row>
    <row r="22" spans="1:9" ht="15.75" customHeight="1">
      <c r="A22" s="1013" t="s">
        <v>41</v>
      </c>
      <c r="B22" s="1096">
        <v>51</v>
      </c>
      <c r="C22" s="1015">
        <v>2538</v>
      </c>
      <c r="D22" s="1096">
        <v>0</v>
      </c>
      <c r="E22" s="1015">
        <v>0</v>
      </c>
      <c r="F22" s="1096">
        <v>51</v>
      </c>
      <c r="G22" s="1015">
        <v>2538</v>
      </c>
      <c r="H22" s="1017" t="s">
        <v>1955</v>
      </c>
      <c r="I22" s="1017">
        <v>163.63</v>
      </c>
    </row>
    <row r="23" spans="1:9" ht="15.75" customHeight="1">
      <c r="A23" s="1013" t="s">
        <v>174</v>
      </c>
      <c r="B23" s="1096">
        <v>20</v>
      </c>
      <c r="C23" s="1015">
        <v>995.5</v>
      </c>
      <c r="D23" s="1096">
        <v>0</v>
      </c>
      <c r="E23" s="1015">
        <v>0</v>
      </c>
      <c r="F23" s="1096">
        <v>20</v>
      </c>
      <c r="G23" s="1015">
        <v>995.5</v>
      </c>
      <c r="H23" s="1017" t="s">
        <v>1956</v>
      </c>
      <c r="I23" s="1017">
        <v>154.4</v>
      </c>
    </row>
    <row r="24" spans="1:9" ht="15.75" customHeight="1">
      <c r="A24" s="1013" t="s">
        <v>176</v>
      </c>
      <c r="B24" s="1096">
        <v>30</v>
      </c>
      <c r="C24" s="1015">
        <v>1491</v>
      </c>
      <c r="D24" s="1096">
        <v>0</v>
      </c>
      <c r="E24" s="1015">
        <v>0</v>
      </c>
      <c r="F24" s="1096">
        <v>30</v>
      </c>
      <c r="G24" s="1015">
        <v>1491</v>
      </c>
      <c r="H24" s="1017" t="s">
        <v>1957</v>
      </c>
      <c r="I24" s="1017">
        <v>110.01</v>
      </c>
    </row>
    <row r="25" spans="1:9" ht="15.75" customHeight="1">
      <c r="A25" s="1013" t="s">
        <v>178</v>
      </c>
      <c r="B25" s="1096">
        <v>41</v>
      </c>
      <c r="C25" s="1015">
        <v>2038</v>
      </c>
      <c r="D25" s="1096">
        <v>0</v>
      </c>
      <c r="E25" s="1015">
        <v>0</v>
      </c>
      <c r="F25" s="1096">
        <v>41</v>
      </c>
      <c r="G25" s="1015">
        <v>2038</v>
      </c>
      <c r="H25" s="1017" t="s">
        <v>1958</v>
      </c>
      <c r="I25" s="1017">
        <v>120.63</v>
      </c>
    </row>
    <row r="26" spans="1:9" ht="15.75" customHeight="1">
      <c r="A26" s="1013" t="s">
        <v>43</v>
      </c>
      <c r="B26" s="1096">
        <v>101</v>
      </c>
      <c r="C26" s="1015">
        <v>5024.5</v>
      </c>
      <c r="D26" s="1096">
        <v>16</v>
      </c>
      <c r="E26" s="1015">
        <v>796.9</v>
      </c>
      <c r="F26" s="1096">
        <v>117</v>
      </c>
      <c r="G26" s="1015">
        <v>5821.4</v>
      </c>
      <c r="H26" s="1017" t="s">
        <v>1959</v>
      </c>
      <c r="I26" s="1017">
        <v>208.21</v>
      </c>
    </row>
    <row r="27" spans="1:9" ht="15.75" customHeight="1">
      <c r="A27" s="1013" t="s">
        <v>44</v>
      </c>
      <c r="B27" s="1096">
        <v>31</v>
      </c>
      <c r="C27" s="1015">
        <v>1550</v>
      </c>
      <c r="D27" s="1096">
        <v>0</v>
      </c>
      <c r="E27" s="1015">
        <v>0</v>
      </c>
      <c r="F27" s="1096">
        <v>31</v>
      </c>
      <c r="G27" s="1015">
        <v>1550</v>
      </c>
      <c r="H27" s="1017" t="s">
        <v>1960</v>
      </c>
      <c r="I27" s="1017">
        <v>147.87</v>
      </c>
    </row>
    <row r="28" spans="1:9" ht="15.75" customHeight="1">
      <c r="A28" s="1013" t="s">
        <v>45</v>
      </c>
      <c r="B28" s="1096">
        <v>30</v>
      </c>
      <c r="C28" s="1015">
        <v>1492.5</v>
      </c>
      <c r="D28" s="1096">
        <v>20</v>
      </c>
      <c r="E28" s="1015">
        <v>998.4</v>
      </c>
      <c r="F28" s="1096">
        <v>50</v>
      </c>
      <c r="G28" s="1015">
        <v>2490.9</v>
      </c>
      <c r="H28" s="1017" t="s">
        <v>1961</v>
      </c>
      <c r="I28" s="1017">
        <v>148.94</v>
      </c>
    </row>
    <row r="29" spans="1:9" ht="15.75" customHeight="1">
      <c r="A29" s="1013" t="s">
        <v>183</v>
      </c>
      <c r="B29" s="1095">
        <v>31</v>
      </c>
      <c r="C29" s="1015">
        <v>1544</v>
      </c>
      <c r="D29" s="1096">
        <v>20</v>
      </c>
      <c r="E29" s="1015">
        <v>996.8</v>
      </c>
      <c r="F29" s="1096">
        <v>51</v>
      </c>
      <c r="G29" s="1015">
        <v>2540.8</v>
      </c>
      <c r="H29" s="1017">
        <v>494651.2</v>
      </c>
      <c r="I29" s="1017">
        <v>194.68324937027708</v>
      </c>
    </row>
    <row r="30" spans="1:9" ht="15.75" customHeight="1">
      <c r="A30" s="1013" t="s">
        <v>55</v>
      </c>
      <c r="B30" s="1096">
        <v>20</v>
      </c>
      <c r="C30" s="1015">
        <v>997</v>
      </c>
      <c r="D30" s="1096">
        <v>10</v>
      </c>
      <c r="E30" s="1015">
        <v>497.6</v>
      </c>
      <c r="F30" s="1096">
        <v>30</v>
      </c>
      <c r="G30" s="1015">
        <v>1494.6</v>
      </c>
      <c r="H30" s="1017" t="s">
        <v>1962</v>
      </c>
      <c r="I30" s="1017">
        <v>113.67</v>
      </c>
    </row>
    <row r="31" spans="1:9" ht="15.75" customHeight="1">
      <c r="A31" s="1013" t="s">
        <v>1525</v>
      </c>
      <c r="B31" s="1096">
        <v>57</v>
      </c>
      <c r="C31" s="1015">
        <v>2840.5</v>
      </c>
      <c r="D31" s="1096">
        <v>0</v>
      </c>
      <c r="E31" s="1015">
        <v>0</v>
      </c>
      <c r="F31" s="1096">
        <v>57</v>
      </c>
      <c r="G31" s="1015">
        <v>2840.5</v>
      </c>
      <c r="H31" s="1017" t="s">
        <v>1963</v>
      </c>
      <c r="I31" s="1017">
        <v>111.54</v>
      </c>
    </row>
    <row r="32" spans="1:9" ht="15.75" customHeight="1">
      <c r="A32" s="1013" t="s">
        <v>186</v>
      </c>
      <c r="B32" s="1096">
        <v>230</v>
      </c>
      <c r="C32" s="1015">
        <v>11453.5</v>
      </c>
      <c r="D32" s="1096">
        <v>0</v>
      </c>
      <c r="E32" s="1015">
        <v>0</v>
      </c>
      <c r="F32" s="1096">
        <v>230</v>
      </c>
      <c r="G32" s="1015">
        <v>11453.5</v>
      </c>
      <c r="H32" s="1017" t="s">
        <v>1964</v>
      </c>
      <c r="I32" s="1017">
        <v>120.33</v>
      </c>
    </row>
    <row r="33" spans="1:9" ht="15.75" customHeight="1">
      <c r="A33" s="1013" t="s">
        <v>46</v>
      </c>
      <c r="B33" s="1096">
        <v>121</v>
      </c>
      <c r="C33" s="1015">
        <v>6030.5</v>
      </c>
      <c r="D33" s="1096">
        <v>9</v>
      </c>
      <c r="E33" s="1015">
        <v>447.5</v>
      </c>
      <c r="F33" s="1096">
        <v>130</v>
      </c>
      <c r="G33" s="1015">
        <v>6478</v>
      </c>
      <c r="H33" s="1017" t="s">
        <v>1965</v>
      </c>
      <c r="I33" s="1017">
        <v>147.84</v>
      </c>
    </row>
    <row r="34" spans="1:9" ht="15.75" customHeight="1">
      <c r="A34" s="1013" t="s">
        <v>47</v>
      </c>
      <c r="B34" s="1095"/>
      <c r="C34" s="1015">
        <v>0</v>
      </c>
      <c r="D34" s="1096">
        <v>10</v>
      </c>
      <c r="E34" s="1015">
        <v>497.6</v>
      </c>
      <c r="F34" s="1096">
        <v>10</v>
      </c>
      <c r="G34" s="1015">
        <v>497.6</v>
      </c>
      <c r="H34" s="1017">
        <v>44784</v>
      </c>
      <c r="I34" s="1017">
        <v>90</v>
      </c>
    </row>
    <row r="35" spans="1:9" ht="15.75" customHeight="1">
      <c r="A35" s="1013" t="s">
        <v>68</v>
      </c>
      <c r="B35" s="1095"/>
      <c r="C35" s="1015">
        <v>0</v>
      </c>
      <c r="D35" s="1096">
        <v>5</v>
      </c>
      <c r="E35" s="1015">
        <v>249</v>
      </c>
      <c r="F35" s="1096">
        <v>5</v>
      </c>
      <c r="G35" s="1015">
        <v>249</v>
      </c>
      <c r="H35" s="1017">
        <v>31125</v>
      </c>
      <c r="I35" s="1017">
        <v>125</v>
      </c>
    </row>
    <row r="36" spans="1:9" ht="15.75" customHeight="1">
      <c r="A36" s="1013" t="s">
        <v>112</v>
      </c>
      <c r="B36" s="1096">
        <v>20</v>
      </c>
      <c r="C36" s="1015">
        <v>995.5</v>
      </c>
      <c r="D36" s="1096">
        <v>10</v>
      </c>
      <c r="E36" s="1015">
        <v>497.6</v>
      </c>
      <c r="F36" s="1096">
        <v>30</v>
      </c>
      <c r="G36" s="1015">
        <v>1493.1</v>
      </c>
      <c r="H36" s="1017" t="s">
        <v>1966</v>
      </c>
      <c r="I36" s="1017">
        <v>180.68</v>
      </c>
    </row>
    <row r="37" spans="1:9" ht="15.75" customHeight="1">
      <c r="A37" s="1013" t="s">
        <v>70</v>
      </c>
      <c r="B37" s="1096">
        <v>120</v>
      </c>
      <c r="C37" s="1015">
        <v>5976</v>
      </c>
      <c r="D37" s="1096">
        <v>0</v>
      </c>
      <c r="E37" s="1015">
        <v>0</v>
      </c>
      <c r="F37" s="1096">
        <v>120</v>
      </c>
      <c r="G37" s="1015">
        <v>5976</v>
      </c>
      <c r="H37" s="1017" t="s">
        <v>1967</v>
      </c>
      <c r="I37" s="1017">
        <v>112.67</v>
      </c>
    </row>
    <row r="38" spans="1:9" ht="15.75" customHeight="1">
      <c r="A38" s="1013" t="s">
        <v>51</v>
      </c>
      <c r="B38" s="1096">
        <v>140</v>
      </c>
      <c r="C38" s="1015">
        <v>6936</v>
      </c>
      <c r="D38" s="1096">
        <v>50</v>
      </c>
      <c r="E38" s="1015">
        <v>2492.8</v>
      </c>
      <c r="F38" s="1096">
        <v>190</v>
      </c>
      <c r="G38" s="1015">
        <v>9428.8</v>
      </c>
      <c r="H38" s="1017">
        <v>1067840.1</v>
      </c>
      <c r="I38" s="1017">
        <v>113.25302265399628</v>
      </c>
    </row>
    <row r="39" spans="1:9" ht="15.75" customHeight="1">
      <c r="A39" s="1013" t="s">
        <v>52</v>
      </c>
      <c r="B39" s="1096">
        <v>40</v>
      </c>
      <c r="C39" s="1015">
        <v>1992.5</v>
      </c>
      <c r="D39" s="1096">
        <v>0</v>
      </c>
      <c r="E39" s="1015">
        <v>0</v>
      </c>
      <c r="F39" s="1096">
        <v>40</v>
      </c>
      <c r="G39" s="1015">
        <v>1992.5</v>
      </c>
      <c r="H39" s="1017" t="s">
        <v>1968</v>
      </c>
      <c r="I39" s="1017">
        <v>132.45</v>
      </c>
    </row>
    <row r="40" spans="1:9" ht="15.75" customHeight="1">
      <c r="A40" s="1013" t="s">
        <v>707</v>
      </c>
      <c r="B40" s="1096">
        <v>30</v>
      </c>
      <c r="C40" s="1015">
        <v>1494</v>
      </c>
      <c r="D40" s="1096">
        <v>0</v>
      </c>
      <c r="E40" s="1015">
        <v>0</v>
      </c>
      <c r="F40" s="1096">
        <v>30</v>
      </c>
      <c r="G40" s="1015">
        <v>1494</v>
      </c>
      <c r="H40" s="1017" t="s">
        <v>1969</v>
      </c>
      <c r="I40" s="1017">
        <v>156.9</v>
      </c>
    </row>
    <row r="41" spans="1:9" ht="15.75" customHeight="1">
      <c r="A41" s="1013" t="s">
        <v>374</v>
      </c>
      <c r="B41" s="1096">
        <v>55</v>
      </c>
      <c r="C41" s="1015">
        <v>2739.5</v>
      </c>
      <c r="D41" s="1096">
        <v>0</v>
      </c>
      <c r="E41" s="1015">
        <v>0</v>
      </c>
      <c r="F41" s="1096">
        <v>55</v>
      </c>
      <c r="G41" s="1015">
        <v>2739.5</v>
      </c>
      <c r="H41" s="1017" t="s">
        <v>1970</v>
      </c>
      <c r="I41" s="1017">
        <v>100.22</v>
      </c>
    </row>
    <row r="42" spans="1:9" ht="15.75" customHeight="1">
      <c r="A42" s="1013" t="s">
        <v>53</v>
      </c>
      <c r="B42" s="1096">
        <v>21</v>
      </c>
      <c r="C42" s="1015">
        <v>1047</v>
      </c>
      <c r="D42" s="1096">
        <v>0</v>
      </c>
      <c r="E42" s="1015">
        <v>0</v>
      </c>
      <c r="F42" s="1096">
        <v>21</v>
      </c>
      <c r="G42" s="1015">
        <v>1047</v>
      </c>
      <c r="H42" s="1017">
        <v>178194.5</v>
      </c>
      <c r="I42" s="1017">
        <v>170.1953199617956</v>
      </c>
    </row>
    <row r="43" spans="1:9" ht="15.75" customHeight="1">
      <c r="A43" s="1013" t="s">
        <v>54</v>
      </c>
      <c r="B43" s="1096">
        <v>220</v>
      </c>
      <c r="C43" s="1015">
        <v>10935</v>
      </c>
      <c r="D43" s="1096">
        <v>0</v>
      </c>
      <c r="E43" s="1015">
        <v>0</v>
      </c>
      <c r="F43" s="1096">
        <v>220</v>
      </c>
      <c r="G43" s="1015">
        <v>10935</v>
      </c>
      <c r="H43" s="1017" t="s">
        <v>1971</v>
      </c>
      <c r="I43" s="1017">
        <v>99.69</v>
      </c>
    </row>
    <row r="44" spans="1:9" ht="15.75" customHeight="1">
      <c r="A44" s="1013" t="s">
        <v>71</v>
      </c>
      <c r="B44" s="1096">
        <v>61</v>
      </c>
      <c r="C44" s="1015">
        <v>3012</v>
      </c>
      <c r="D44" s="1096">
        <v>0</v>
      </c>
      <c r="E44" s="1015">
        <v>0</v>
      </c>
      <c r="F44" s="1096">
        <v>61</v>
      </c>
      <c r="G44" s="1015">
        <v>3012</v>
      </c>
      <c r="H44" s="1017" t="s">
        <v>1972</v>
      </c>
      <c r="I44" s="1017">
        <v>149.87</v>
      </c>
    </row>
    <row r="45" spans="1:9" ht="15.75" customHeight="1">
      <c r="A45" s="1013" t="s">
        <v>57</v>
      </c>
      <c r="B45" s="1096">
        <v>20</v>
      </c>
      <c r="C45" s="1015">
        <v>995.5</v>
      </c>
      <c r="D45" s="1096">
        <v>0</v>
      </c>
      <c r="E45" s="1015">
        <v>0</v>
      </c>
      <c r="F45" s="1096">
        <v>20</v>
      </c>
      <c r="G45" s="1015">
        <v>995.5</v>
      </c>
      <c r="H45" s="1017" t="s">
        <v>1973</v>
      </c>
      <c r="I45" s="1017">
        <v>111</v>
      </c>
    </row>
    <row r="46" spans="1:9" ht="15.75" customHeight="1">
      <c r="A46" s="1013" t="s">
        <v>19</v>
      </c>
      <c r="B46" s="1096">
        <v>2251</v>
      </c>
      <c r="C46" s="1015" t="s">
        <v>1974</v>
      </c>
      <c r="D46" s="1096">
        <v>240</v>
      </c>
      <c r="E46" s="1015">
        <v>11959.8</v>
      </c>
      <c r="F46" s="1096">
        <v>2491</v>
      </c>
      <c r="G46" s="1015" t="s">
        <v>1975</v>
      </c>
      <c r="H46" s="1017" t="s">
        <v>1976</v>
      </c>
      <c r="I46" s="1017">
        <v>131.44</v>
      </c>
    </row>
    <row r="47" spans="1:9" ht="15.75" customHeight="1">
      <c r="A47" s="975"/>
      <c r="B47" s="1097"/>
      <c r="C47" s="1097"/>
      <c r="D47" s="1097"/>
      <c r="E47" s="1097"/>
      <c r="F47" s="1097"/>
      <c r="G47" s="1097"/>
      <c r="H47" s="1097"/>
      <c r="I47" s="1097"/>
    </row>
    <row r="48" spans="1:9" ht="15.75" customHeight="1">
      <c r="A48" s="975" t="s">
        <v>62</v>
      </c>
      <c r="B48" s="1098"/>
      <c r="C48" s="1099"/>
      <c r="D48" s="1098"/>
      <c r="E48" s="1100"/>
      <c r="F48" s="1098"/>
      <c r="G48" s="1099"/>
      <c r="H48" s="1101"/>
      <c r="I48" s="1102"/>
    </row>
    <row r="49" spans="1:9" ht="15.75" customHeight="1">
      <c r="A49" s="975" t="s">
        <v>63</v>
      </c>
      <c r="B49" s="1098"/>
      <c r="C49" s="1099"/>
      <c r="D49" s="1098"/>
      <c r="E49" s="1100"/>
      <c r="F49" s="1098"/>
      <c r="G49" s="1099" t="s">
        <v>64</v>
      </c>
      <c r="H49" s="1103"/>
      <c r="I49" s="1104"/>
    </row>
    <row r="50" spans="1:9" ht="15.75" customHeight="1">
      <c r="A50" s="975" t="s">
        <v>157</v>
      </c>
      <c r="B50" s="1098"/>
      <c r="C50" s="1099"/>
      <c r="D50" s="1098"/>
      <c r="E50" s="1018"/>
      <c r="F50" s="1018"/>
      <c r="G50" s="1103" t="s">
        <v>66</v>
      </c>
      <c r="H50" s="1018"/>
      <c r="I50" s="1105"/>
    </row>
    <row r="51" spans="1:9" ht="15.75" customHeight="1">
      <c r="A51" s="975" t="s">
        <v>158</v>
      </c>
      <c r="B51" s="1098"/>
      <c r="C51" s="1099"/>
      <c r="D51" s="1098"/>
      <c r="E51" s="1100"/>
      <c r="F51" s="1098"/>
      <c r="G51" s="1099"/>
      <c r="H51" s="1103"/>
      <c r="I51" s="1105"/>
    </row>
    <row r="52" spans="1:9" ht="15.75" customHeight="1">
      <c r="A52" s="975" t="s">
        <v>159</v>
      </c>
      <c r="B52" s="1098"/>
      <c r="C52" s="1099"/>
      <c r="D52" s="1098"/>
      <c r="E52" s="1100"/>
      <c r="F52" s="1098"/>
      <c r="G52" s="1099"/>
      <c r="H52" s="1103"/>
      <c r="I52" s="1105"/>
    </row>
    <row r="53" spans="2:9" ht="15.75" customHeight="1">
      <c r="B53" s="762"/>
      <c r="C53" s="844"/>
      <c r="D53" s="838"/>
      <c r="E53" s="837"/>
      <c r="F53" s="838"/>
      <c r="G53" s="844"/>
      <c r="H53" s="969"/>
      <c r="I53" s="839"/>
    </row>
    <row r="54" spans="3:9" ht="15.75" customHeight="1">
      <c r="C54" s="405"/>
      <c r="D54" s="388"/>
      <c r="E54" s="399"/>
      <c r="F54" s="388"/>
      <c r="G54" s="405"/>
      <c r="H54" s="970"/>
      <c r="I54" s="391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D.T. Road Askarabad (1st floor)
Chattogram-4224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9.140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9.140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C21" sqref="C2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75" t="s">
        <v>1912</v>
      </c>
      <c r="B1" s="976"/>
      <c r="C1" s="977"/>
      <c r="D1" s="976"/>
      <c r="E1" s="978"/>
      <c r="F1" s="976"/>
      <c r="G1" s="977"/>
      <c r="H1" s="979"/>
      <c r="I1" s="980"/>
    </row>
    <row r="2" spans="1:9" ht="15.75" customHeight="1">
      <c r="A2" s="975" t="s">
        <v>1913</v>
      </c>
      <c r="B2" s="976"/>
      <c r="C2" s="977"/>
      <c r="D2" s="976"/>
      <c r="E2" s="978"/>
      <c r="F2" s="976"/>
      <c r="G2" s="977"/>
      <c r="H2" s="979"/>
      <c r="I2" s="980"/>
    </row>
    <row r="3" spans="1:9" ht="15.75" customHeight="1">
      <c r="A3" s="975" t="s">
        <v>58</v>
      </c>
      <c r="B3" s="976"/>
      <c r="C3" s="977"/>
      <c r="D3" s="976"/>
      <c r="E3" s="978"/>
      <c r="F3" s="976"/>
      <c r="G3" s="977"/>
      <c r="H3" s="979"/>
      <c r="I3" s="980"/>
    </row>
    <row r="4" spans="1:9" ht="15.75" customHeight="1">
      <c r="A4" s="975" t="s">
        <v>8</v>
      </c>
      <c r="B4" s="976"/>
      <c r="C4" s="977"/>
      <c r="D4" s="976"/>
      <c r="E4" s="978"/>
      <c r="F4" s="976"/>
      <c r="G4" s="977"/>
      <c r="H4" s="979"/>
      <c r="I4" s="980"/>
    </row>
    <row r="5" spans="1:9" ht="15.75" customHeight="1">
      <c r="A5" s="975" t="s">
        <v>9</v>
      </c>
      <c r="B5" s="976"/>
      <c r="C5" s="977"/>
      <c r="D5" s="976"/>
      <c r="E5" s="981"/>
      <c r="F5" s="976"/>
      <c r="G5" s="977"/>
      <c r="H5" s="979"/>
      <c r="I5" s="980"/>
    </row>
    <row r="6" spans="1:9" ht="15.75" customHeight="1">
      <c r="A6" s="975" t="s">
        <v>59</v>
      </c>
      <c r="B6" s="976"/>
      <c r="C6" s="977"/>
      <c r="D6" s="976"/>
      <c r="E6" s="978"/>
      <c r="F6" s="976"/>
      <c r="G6" s="977"/>
      <c r="H6" s="979"/>
      <c r="I6" s="980"/>
    </row>
    <row r="7" spans="1:9" ht="15.75" customHeight="1">
      <c r="A7" s="975" t="s">
        <v>60</v>
      </c>
      <c r="B7" s="976"/>
      <c r="C7" s="977"/>
      <c r="D7" s="976"/>
      <c r="E7" s="982" t="s">
        <v>61</v>
      </c>
      <c r="F7" s="976"/>
      <c r="G7" s="977"/>
      <c r="H7" s="979"/>
      <c r="I7" s="980"/>
    </row>
    <row r="8" spans="1:9" ht="15.75" customHeight="1">
      <c r="A8" s="975" t="s">
        <v>1914</v>
      </c>
      <c r="B8" s="983"/>
      <c r="C8" s="984"/>
      <c r="D8" s="983"/>
      <c r="E8" s="985"/>
      <c r="F8" s="983"/>
      <c r="G8" s="984"/>
      <c r="H8" s="986"/>
      <c r="I8" s="987"/>
    </row>
    <row r="9" spans="1:9" ht="15.75" customHeight="1">
      <c r="A9" s="975"/>
      <c r="B9" s="983"/>
      <c r="C9" s="984" t="s">
        <v>1915</v>
      </c>
      <c r="D9" s="983"/>
      <c r="E9" s="985"/>
      <c r="F9" s="983"/>
      <c r="G9" s="984"/>
      <c r="H9" s="986"/>
      <c r="I9" s="987"/>
    </row>
    <row r="10" spans="1:9" ht="15.75" customHeight="1">
      <c r="A10" s="988" t="s">
        <v>82</v>
      </c>
      <c r="B10" s="983"/>
      <c r="C10" s="984" t="s">
        <v>83</v>
      </c>
      <c r="D10" s="983"/>
      <c r="E10" s="985" t="s">
        <v>34</v>
      </c>
      <c r="F10" s="983"/>
      <c r="G10" s="984" t="s">
        <v>84</v>
      </c>
      <c r="H10" s="979"/>
      <c r="I10" s="987"/>
    </row>
    <row r="11" spans="1:9" ht="15.75" customHeight="1">
      <c r="A11" s="988" t="s">
        <v>89</v>
      </c>
      <c r="B11" s="989" t="s">
        <v>6</v>
      </c>
      <c r="C11" s="990" t="s">
        <v>87</v>
      </c>
      <c r="D11" s="991" t="s">
        <v>6</v>
      </c>
      <c r="E11" s="992" t="s">
        <v>87</v>
      </c>
      <c r="F11" s="991" t="s">
        <v>6</v>
      </c>
      <c r="G11" s="990" t="s">
        <v>87</v>
      </c>
      <c r="H11" s="993" t="s">
        <v>35</v>
      </c>
      <c r="I11" s="987" t="s">
        <v>85</v>
      </c>
    </row>
    <row r="12" spans="1:9" ht="15.75" customHeight="1">
      <c r="A12" s="1072" t="s">
        <v>1379</v>
      </c>
      <c r="B12" s="1073">
        <v>27</v>
      </c>
      <c r="C12" s="1074">
        <v>1345</v>
      </c>
      <c r="D12" s="1073">
        <v>30</v>
      </c>
      <c r="E12" s="1075">
        <v>1497.6</v>
      </c>
      <c r="F12" s="1073">
        <v>57</v>
      </c>
      <c r="G12" s="1075">
        <v>2842.6</v>
      </c>
      <c r="H12" s="485">
        <v>473142.2</v>
      </c>
      <c r="I12" s="1076">
        <v>166.44698515443608</v>
      </c>
    </row>
    <row r="13" spans="1:9" ht="15.75" customHeight="1">
      <c r="A13" s="1072" t="s">
        <v>36</v>
      </c>
      <c r="B13" s="1073">
        <v>797</v>
      </c>
      <c r="C13" s="1074">
        <v>39667</v>
      </c>
      <c r="D13" s="1073">
        <v>0</v>
      </c>
      <c r="E13" s="1075">
        <v>0</v>
      </c>
      <c r="F13" s="1073">
        <v>797</v>
      </c>
      <c r="G13" s="1075">
        <v>39667</v>
      </c>
      <c r="H13" s="485" t="s">
        <v>1916</v>
      </c>
      <c r="I13" s="1076">
        <v>140.41</v>
      </c>
    </row>
    <row r="14" spans="1:9" ht="15.75" customHeight="1">
      <c r="A14" s="1072" t="s">
        <v>213</v>
      </c>
      <c r="B14" s="1073">
        <v>185</v>
      </c>
      <c r="C14" s="1074">
        <v>9213.5</v>
      </c>
      <c r="D14" s="1073">
        <v>11</v>
      </c>
      <c r="E14" s="1075">
        <v>548.5</v>
      </c>
      <c r="F14" s="1073">
        <v>196</v>
      </c>
      <c r="G14" s="1075">
        <v>9762</v>
      </c>
      <c r="H14" s="485" t="s">
        <v>1917</v>
      </c>
      <c r="I14" s="1076">
        <v>121.69</v>
      </c>
    </row>
    <row r="15" spans="1:9" ht="15.75" customHeight="1">
      <c r="A15" s="1072" t="s">
        <v>586</v>
      </c>
      <c r="B15" s="1077"/>
      <c r="C15" s="1074">
        <v>0</v>
      </c>
      <c r="D15" s="1073">
        <v>131</v>
      </c>
      <c r="E15" s="1075">
        <v>6535.4</v>
      </c>
      <c r="F15" s="1073">
        <v>131</v>
      </c>
      <c r="G15" s="1075">
        <v>6535.4</v>
      </c>
      <c r="H15" s="485" t="s">
        <v>1918</v>
      </c>
      <c r="I15" s="1076">
        <v>142.59</v>
      </c>
    </row>
    <row r="16" spans="1:9" ht="15.75" customHeight="1">
      <c r="A16" s="1072" t="s">
        <v>38</v>
      </c>
      <c r="B16" s="1073">
        <v>30</v>
      </c>
      <c r="C16" s="1074">
        <v>1495.5</v>
      </c>
      <c r="D16" s="1073">
        <v>0</v>
      </c>
      <c r="E16" s="1075">
        <v>0</v>
      </c>
      <c r="F16" s="1073">
        <v>30</v>
      </c>
      <c r="G16" s="1075">
        <v>1495.5</v>
      </c>
      <c r="H16" s="485" t="s">
        <v>1919</v>
      </c>
      <c r="I16" s="1076">
        <v>119.67</v>
      </c>
    </row>
    <row r="17" spans="1:9" ht="15.75" customHeight="1">
      <c r="A17" s="1072" t="s">
        <v>1247</v>
      </c>
      <c r="B17" s="1073">
        <v>75</v>
      </c>
      <c r="C17" s="1074">
        <v>3735</v>
      </c>
      <c r="D17" s="1073">
        <v>0</v>
      </c>
      <c r="E17" s="1075">
        <v>0</v>
      </c>
      <c r="F17" s="1073">
        <v>75</v>
      </c>
      <c r="G17" s="1075">
        <v>3735</v>
      </c>
      <c r="H17" s="485">
        <v>554642.5</v>
      </c>
      <c r="I17" s="1076">
        <v>148.49866131191433</v>
      </c>
    </row>
    <row r="18" spans="1:9" ht="15.75" customHeight="1">
      <c r="A18" s="1072" t="s">
        <v>1826</v>
      </c>
      <c r="B18" s="1073">
        <v>20</v>
      </c>
      <c r="C18" s="1074">
        <v>998.5</v>
      </c>
      <c r="D18" s="1073">
        <v>0</v>
      </c>
      <c r="E18" s="1075">
        <v>0</v>
      </c>
      <c r="F18" s="1073">
        <v>20</v>
      </c>
      <c r="G18" s="1075">
        <v>998.5</v>
      </c>
      <c r="H18" s="485" t="s">
        <v>1920</v>
      </c>
      <c r="I18" s="1076">
        <v>190</v>
      </c>
    </row>
    <row r="19" spans="1:9" ht="15.75" customHeight="1">
      <c r="A19" s="1072" t="s">
        <v>41</v>
      </c>
      <c r="B19" s="1073">
        <v>193</v>
      </c>
      <c r="C19" s="1074">
        <v>9611</v>
      </c>
      <c r="D19" s="1073">
        <v>0</v>
      </c>
      <c r="E19" s="1075">
        <v>0</v>
      </c>
      <c r="F19" s="1073">
        <v>193</v>
      </c>
      <c r="G19" s="1075">
        <v>9611</v>
      </c>
      <c r="H19" s="485">
        <v>1678593</v>
      </c>
      <c r="I19" s="1076">
        <v>174.65331391114347</v>
      </c>
    </row>
    <row r="20" spans="1:9" ht="15.75" customHeight="1">
      <c r="A20" s="1072" t="s">
        <v>42</v>
      </c>
      <c r="B20" s="1073">
        <v>65</v>
      </c>
      <c r="C20" s="1074">
        <v>3241</v>
      </c>
      <c r="D20" s="1073">
        <v>0</v>
      </c>
      <c r="E20" s="1075">
        <v>0</v>
      </c>
      <c r="F20" s="1073">
        <v>65</v>
      </c>
      <c r="G20" s="1075">
        <v>3241</v>
      </c>
      <c r="H20" s="485" t="s">
        <v>1921</v>
      </c>
      <c r="I20" s="1076">
        <v>135.4</v>
      </c>
    </row>
    <row r="21" spans="1:9" ht="15.75" customHeight="1">
      <c r="A21" s="1072" t="s">
        <v>43</v>
      </c>
      <c r="B21" s="1073">
        <v>557</v>
      </c>
      <c r="C21" s="1074">
        <v>27800</v>
      </c>
      <c r="D21" s="1073">
        <v>264</v>
      </c>
      <c r="E21" s="1075">
        <v>13179</v>
      </c>
      <c r="F21" s="1073">
        <v>821</v>
      </c>
      <c r="G21" s="1075">
        <v>40979</v>
      </c>
      <c r="H21" s="485" t="s">
        <v>1922</v>
      </c>
      <c r="I21" s="1076">
        <v>218.08</v>
      </c>
    </row>
    <row r="22" spans="1:9" ht="15.75" customHeight="1">
      <c r="A22" s="1072" t="s">
        <v>45</v>
      </c>
      <c r="B22" s="1073">
        <v>20</v>
      </c>
      <c r="C22" s="1074">
        <v>995.5</v>
      </c>
      <c r="D22" s="1073">
        <v>20</v>
      </c>
      <c r="E22" s="1075">
        <v>998.4</v>
      </c>
      <c r="F22" s="1073">
        <v>40</v>
      </c>
      <c r="G22" s="1075">
        <v>1993.9</v>
      </c>
      <c r="H22" s="485" t="s">
        <v>1923</v>
      </c>
      <c r="I22" s="1076">
        <v>120.48</v>
      </c>
    </row>
    <row r="23" spans="1:9" ht="15.75" customHeight="1">
      <c r="A23" s="1072" t="s">
        <v>67</v>
      </c>
      <c r="B23" s="1073">
        <v>35</v>
      </c>
      <c r="C23" s="1074">
        <v>1744</v>
      </c>
      <c r="D23" s="1073">
        <v>0</v>
      </c>
      <c r="E23" s="1075">
        <v>0</v>
      </c>
      <c r="F23" s="1073">
        <v>35</v>
      </c>
      <c r="G23" s="1075">
        <v>1744</v>
      </c>
      <c r="H23" s="485" t="s">
        <v>1924</v>
      </c>
      <c r="I23" s="1076">
        <v>132</v>
      </c>
    </row>
    <row r="24" spans="1:9" ht="15.75" customHeight="1">
      <c r="A24" s="1072" t="s">
        <v>1925</v>
      </c>
      <c r="B24" s="1077">
        <v>69</v>
      </c>
      <c r="C24" s="1074">
        <v>3434</v>
      </c>
      <c r="D24" s="1073">
        <v>132</v>
      </c>
      <c r="E24" s="1075">
        <v>6574.800000000001</v>
      </c>
      <c r="F24" s="1073">
        <v>201</v>
      </c>
      <c r="G24" s="1075">
        <v>10008.800000000001</v>
      </c>
      <c r="H24" s="485">
        <v>1843666.2</v>
      </c>
      <c r="I24" s="1076">
        <v>184.20452002238028</v>
      </c>
    </row>
    <row r="25" spans="1:9" ht="15.75" customHeight="1">
      <c r="A25" s="1072" t="s">
        <v>55</v>
      </c>
      <c r="B25" s="1077"/>
      <c r="C25" s="1074">
        <v>0</v>
      </c>
      <c r="D25" s="1073">
        <v>74</v>
      </c>
      <c r="E25" s="1075">
        <v>3690.8</v>
      </c>
      <c r="F25" s="1073">
        <v>74</v>
      </c>
      <c r="G25" s="1075">
        <v>3690.8</v>
      </c>
      <c r="H25" s="485">
        <v>586385.9</v>
      </c>
      <c r="I25" s="1076">
        <v>158.8777229868863</v>
      </c>
    </row>
    <row r="26" spans="1:9" ht="15.75" customHeight="1">
      <c r="A26" s="1072" t="s">
        <v>1900</v>
      </c>
      <c r="B26" s="1073">
        <v>10</v>
      </c>
      <c r="C26" s="1074">
        <v>497</v>
      </c>
      <c r="D26" s="1073">
        <v>0</v>
      </c>
      <c r="E26" s="1075">
        <v>0</v>
      </c>
      <c r="F26" s="1073">
        <v>10</v>
      </c>
      <c r="G26" s="1075">
        <v>497</v>
      </c>
      <c r="H26" s="485">
        <v>56658</v>
      </c>
      <c r="I26" s="1076">
        <v>114</v>
      </c>
    </row>
    <row r="27" spans="1:9" ht="15.75" customHeight="1">
      <c r="A27" s="1072" t="s">
        <v>69</v>
      </c>
      <c r="B27" s="1073">
        <v>20</v>
      </c>
      <c r="C27" s="1074">
        <v>995.5</v>
      </c>
      <c r="D27" s="1073">
        <v>0</v>
      </c>
      <c r="E27" s="1075">
        <v>0</v>
      </c>
      <c r="F27" s="1073">
        <v>20</v>
      </c>
      <c r="G27" s="1075">
        <v>995.5</v>
      </c>
      <c r="H27" s="485" t="s">
        <v>1926</v>
      </c>
      <c r="I27" s="1076">
        <v>123.5</v>
      </c>
    </row>
    <row r="28" spans="1:9" ht="15.75" customHeight="1">
      <c r="A28" s="1072" t="s">
        <v>230</v>
      </c>
      <c r="B28" s="1073">
        <v>10</v>
      </c>
      <c r="C28" s="1074">
        <v>497</v>
      </c>
      <c r="D28" s="1073">
        <v>0</v>
      </c>
      <c r="E28" s="1075">
        <v>0</v>
      </c>
      <c r="F28" s="1073">
        <v>10</v>
      </c>
      <c r="G28" s="1075">
        <v>497</v>
      </c>
      <c r="H28" s="485" t="s">
        <v>1927</v>
      </c>
      <c r="I28" s="1076">
        <v>244</v>
      </c>
    </row>
    <row r="29" spans="1:9" ht="15.75" customHeight="1">
      <c r="A29" s="1072" t="s">
        <v>46</v>
      </c>
      <c r="B29" s="1073">
        <v>95</v>
      </c>
      <c r="C29" s="1074">
        <v>4729</v>
      </c>
      <c r="D29" s="1073">
        <v>5</v>
      </c>
      <c r="E29" s="1075">
        <v>249.2</v>
      </c>
      <c r="F29" s="1073">
        <v>100</v>
      </c>
      <c r="G29" s="1075">
        <v>4978.2</v>
      </c>
      <c r="H29" s="485" t="s">
        <v>1928</v>
      </c>
      <c r="I29" s="1076">
        <v>128.81</v>
      </c>
    </row>
    <row r="30" spans="1:9" ht="15.75" customHeight="1">
      <c r="A30" s="1072" t="s">
        <v>47</v>
      </c>
      <c r="B30" s="1077"/>
      <c r="C30" s="1074">
        <v>0</v>
      </c>
      <c r="D30" s="1073">
        <v>17</v>
      </c>
      <c r="E30" s="1075">
        <v>848.4</v>
      </c>
      <c r="F30" s="1073">
        <v>17</v>
      </c>
      <c r="G30" s="1075">
        <v>848.4</v>
      </c>
      <c r="H30" s="485">
        <v>94020</v>
      </c>
      <c r="I30" s="1076">
        <v>110.82</v>
      </c>
    </row>
    <row r="31" spans="1:9" ht="15.75" customHeight="1">
      <c r="A31" s="1072" t="s">
        <v>68</v>
      </c>
      <c r="B31" s="1073">
        <v>20</v>
      </c>
      <c r="C31" s="1074">
        <v>997</v>
      </c>
      <c r="D31" s="1073">
        <v>0</v>
      </c>
      <c r="E31" s="1075">
        <v>0</v>
      </c>
      <c r="F31" s="1073">
        <v>20</v>
      </c>
      <c r="G31" s="1075">
        <v>997</v>
      </c>
      <c r="H31" s="485" t="s">
        <v>1929</v>
      </c>
      <c r="I31" s="1076">
        <v>120.5</v>
      </c>
    </row>
    <row r="32" spans="1:9" ht="15.75" customHeight="1">
      <c r="A32" s="1072" t="s">
        <v>604</v>
      </c>
      <c r="B32" s="1073">
        <v>10</v>
      </c>
      <c r="C32" s="1074">
        <v>497</v>
      </c>
      <c r="D32" s="1073">
        <v>0</v>
      </c>
      <c r="E32" s="1075">
        <v>0</v>
      </c>
      <c r="F32" s="1073">
        <v>10</v>
      </c>
      <c r="G32" s="1075">
        <v>497</v>
      </c>
      <c r="H32" s="485" t="s">
        <v>1930</v>
      </c>
      <c r="I32" s="1076">
        <v>246</v>
      </c>
    </row>
    <row r="33" spans="1:9" ht="15.75" customHeight="1">
      <c r="A33" s="1072" t="s">
        <v>194</v>
      </c>
      <c r="B33" s="1073">
        <v>5</v>
      </c>
      <c r="C33" s="1074">
        <v>249.5</v>
      </c>
      <c r="D33" s="1073">
        <v>26</v>
      </c>
      <c r="E33" s="1075">
        <v>1288.3</v>
      </c>
      <c r="F33" s="1073">
        <v>31</v>
      </c>
      <c r="G33" s="1075">
        <v>1537.8</v>
      </c>
      <c r="H33" s="485" t="s">
        <v>1931</v>
      </c>
      <c r="I33" s="1076">
        <v>163.68</v>
      </c>
    </row>
    <row r="34" spans="1:9" ht="15.75" customHeight="1">
      <c r="A34" s="1072" t="s">
        <v>49</v>
      </c>
      <c r="B34" s="1073">
        <v>10</v>
      </c>
      <c r="C34" s="1074">
        <v>497</v>
      </c>
      <c r="D34" s="1073">
        <v>0</v>
      </c>
      <c r="E34" s="1075">
        <v>0</v>
      </c>
      <c r="F34" s="1073">
        <v>10</v>
      </c>
      <c r="G34" s="1075">
        <v>497</v>
      </c>
      <c r="H34" s="485" t="s">
        <v>1932</v>
      </c>
      <c r="I34" s="1076">
        <v>260</v>
      </c>
    </row>
    <row r="35" spans="1:9" ht="15.75" customHeight="1">
      <c r="A35" s="1072" t="s">
        <v>70</v>
      </c>
      <c r="B35" s="1073">
        <v>10</v>
      </c>
      <c r="C35" s="1074">
        <v>497</v>
      </c>
      <c r="D35" s="1073">
        <v>0</v>
      </c>
      <c r="E35" s="1075">
        <v>0</v>
      </c>
      <c r="F35" s="1073">
        <v>10</v>
      </c>
      <c r="G35" s="1075">
        <v>497</v>
      </c>
      <c r="H35" s="485">
        <v>53676</v>
      </c>
      <c r="I35" s="1076">
        <v>108</v>
      </c>
    </row>
    <row r="36" spans="1:9" ht="15.75" customHeight="1">
      <c r="A36" s="1072" t="s">
        <v>51</v>
      </c>
      <c r="B36" s="1073">
        <v>180</v>
      </c>
      <c r="C36" s="1074">
        <v>8959.5</v>
      </c>
      <c r="D36" s="1073">
        <v>0</v>
      </c>
      <c r="E36" s="1075">
        <v>0</v>
      </c>
      <c r="F36" s="1073">
        <v>180</v>
      </c>
      <c r="G36" s="1075">
        <v>8959.5</v>
      </c>
      <c r="H36" s="485" t="s">
        <v>1933</v>
      </c>
      <c r="I36" s="1076">
        <v>138.64</v>
      </c>
    </row>
    <row r="37" spans="1:9" ht="15.75" customHeight="1">
      <c r="A37" s="1072" t="s">
        <v>52</v>
      </c>
      <c r="B37" s="1073">
        <v>20</v>
      </c>
      <c r="C37" s="1074">
        <v>997</v>
      </c>
      <c r="D37" s="1073">
        <v>0</v>
      </c>
      <c r="E37" s="1075">
        <v>0</v>
      </c>
      <c r="F37" s="1073">
        <v>20</v>
      </c>
      <c r="G37" s="1075">
        <v>997</v>
      </c>
      <c r="H37" s="485" t="s">
        <v>1934</v>
      </c>
      <c r="I37" s="1076">
        <v>103</v>
      </c>
    </row>
    <row r="38" spans="1:9" ht="15.75" customHeight="1">
      <c r="A38" s="1072" t="s">
        <v>281</v>
      </c>
      <c r="B38" s="1073">
        <v>10</v>
      </c>
      <c r="C38" s="1074">
        <v>498.5</v>
      </c>
      <c r="D38" s="1073">
        <v>0</v>
      </c>
      <c r="E38" s="1075">
        <v>0</v>
      </c>
      <c r="F38" s="1073">
        <v>10</v>
      </c>
      <c r="G38" s="1075">
        <v>498.5</v>
      </c>
      <c r="H38" s="485">
        <v>74775</v>
      </c>
      <c r="I38" s="1076">
        <v>150</v>
      </c>
    </row>
    <row r="39" spans="1:9" ht="15.75" customHeight="1">
      <c r="A39" s="1072" t="s">
        <v>149</v>
      </c>
      <c r="B39" s="1073">
        <v>20</v>
      </c>
      <c r="C39" s="1074">
        <v>995.5</v>
      </c>
      <c r="D39" s="1073">
        <v>40</v>
      </c>
      <c r="E39" s="1075">
        <v>1996</v>
      </c>
      <c r="F39" s="1073">
        <v>60</v>
      </c>
      <c r="G39" s="1075">
        <v>2991.5</v>
      </c>
      <c r="H39" s="485" t="s">
        <v>1935</v>
      </c>
      <c r="I39" s="1076">
        <v>152.1</v>
      </c>
    </row>
    <row r="40" spans="1:9" ht="15.75" customHeight="1">
      <c r="A40" s="1072" t="s">
        <v>374</v>
      </c>
      <c r="B40" s="1073">
        <v>70</v>
      </c>
      <c r="C40" s="1074">
        <v>3486.5</v>
      </c>
      <c r="D40" s="1073">
        <v>0</v>
      </c>
      <c r="E40" s="1075">
        <v>0</v>
      </c>
      <c r="F40" s="1073">
        <v>70</v>
      </c>
      <c r="G40" s="1075">
        <v>3486.5</v>
      </c>
      <c r="H40" s="485">
        <v>377007.5</v>
      </c>
      <c r="I40" s="1076">
        <v>108.13351498637603</v>
      </c>
    </row>
    <row r="41" spans="1:9" ht="15.75" customHeight="1">
      <c r="A41" s="1072" t="s">
        <v>53</v>
      </c>
      <c r="B41" s="1073">
        <v>276</v>
      </c>
      <c r="C41" s="1074">
        <v>13741.5</v>
      </c>
      <c r="D41" s="1073">
        <v>0</v>
      </c>
      <c r="E41" s="1075">
        <v>0</v>
      </c>
      <c r="F41" s="1073">
        <v>276</v>
      </c>
      <c r="G41" s="1075">
        <v>13741.5</v>
      </c>
      <c r="H41" s="485">
        <v>2196574.5</v>
      </c>
      <c r="I41" s="1076">
        <v>159.84968889859186</v>
      </c>
    </row>
    <row r="42" spans="1:9" ht="15.75" customHeight="1">
      <c r="A42" s="1072" t="s">
        <v>54</v>
      </c>
      <c r="B42" s="1073">
        <v>180</v>
      </c>
      <c r="C42" s="1074">
        <v>8961</v>
      </c>
      <c r="D42" s="1073">
        <v>10</v>
      </c>
      <c r="E42" s="1075">
        <v>499.2</v>
      </c>
      <c r="F42" s="1073">
        <v>190</v>
      </c>
      <c r="G42" s="1075">
        <v>9460.2</v>
      </c>
      <c r="H42" s="485" t="s">
        <v>1936</v>
      </c>
      <c r="I42" s="1076">
        <v>122.61</v>
      </c>
    </row>
    <row r="43" spans="1:9" ht="15.75" customHeight="1">
      <c r="A43" s="1072" t="s">
        <v>1309</v>
      </c>
      <c r="B43" s="1073">
        <v>30</v>
      </c>
      <c r="C43" s="1074">
        <v>1492.5</v>
      </c>
      <c r="D43" s="1073">
        <v>0</v>
      </c>
      <c r="E43" s="1075">
        <v>0</v>
      </c>
      <c r="F43" s="1073">
        <v>30</v>
      </c>
      <c r="G43" s="1075">
        <v>1492.5</v>
      </c>
      <c r="H43" s="485" t="s">
        <v>1937</v>
      </c>
      <c r="I43" s="1076">
        <v>124.99</v>
      </c>
    </row>
    <row r="44" spans="1:9" ht="15.75" customHeight="1">
      <c r="A44" s="1072" t="s">
        <v>71</v>
      </c>
      <c r="B44" s="1073">
        <v>60</v>
      </c>
      <c r="C44" s="1074">
        <v>2988</v>
      </c>
      <c r="D44" s="1073">
        <v>50</v>
      </c>
      <c r="E44" s="1075">
        <v>2493.6</v>
      </c>
      <c r="F44" s="1073">
        <v>110</v>
      </c>
      <c r="G44" s="1075">
        <v>5481.6</v>
      </c>
      <c r="H44" s="485" t="s">
        <v>1938</v>
      </c>
      <c r="I44" s="1076">
        <v>135.62</v>
      </c>
    </row>
    <row r="45" spans="1:9" ht="15.75" customHeight="1">
      <c r="A45" s="1072" t="s">
        <v>243</v>
      </c>
      <c r="B45" s="1073">
        <v>40</v>
      </c>
      <c r="C45" s="1074">
        <v>1994</v>
      </c>
      <c r="D45" s="1073">
        <v>0</v>
      </c>
      <c r="E45" s="1075">
        <v>0</v>
      </c>
      <c r="F45" s="1073">
        <v>40</v>
      </c>
      <c r="G45" s="1075">
        <v>1994</v>
      </c>
      <c r="H45" s="485" t="s">
        <v>1939</v>
      </c>
      <c r="I45" s="1076">
        <v>123.25</v>
      </c>
    </row>
    <row r="46" spans="1:9" ht="15.75" customHeight="1">
      <c r="A46" s="1072" t="s">
        <v>994</v>
      </c>
      <c r="B46" s="1077"/>
      <c r="C46" s="1074">
        <v>0</v>
      </c>
      <c r="D46" s="1073">
        <v>40</v>
      </c>
      <c r="E46" s="1075">
        <v>1996.8</v>
      </c>
      <c r="F46" s="1073">
        <v>40</v>
      </c>
      <c r="G46" s="1075">
        <v>1996.8</v>
      </c>
      <c r="H46" s="485" t="s">
        <v>1940</v>
      </c>
      <c r="I46" s="1076">
        <v>142</v>
      </c>
    </row>
    <row r="47" spans="1:9" ht="15.75" customHeight="1">
      <c r="A47" s="1072" t="s">
        <v>19</v>
      </c>
      <c r="B47" s="1073">
        <v>3149</v>
      </c>
      <c r="C47" s="484" t="s">
        <v>1941</v>
      </c>
      <c r="D47" s="1073">
        <v>850</v>
      </c>
      <c r="E47" s="1075">
        <v>42396</v>
      </c>
      <c r="F47" s="1073">
        <v>3999</v>
      </c>
      <c r="G47" s="484" t="s">
        <v>1942</v>
      </c>
      <c r="H47" s="485" t="s">
        <v>1943</v>
      </c>
      <c r="I47" s="1076">
        <v>159.71</v>
      </c>
    </row>
    <row r="48" spans="1:9" ht="15.75" customHeight="1">
      <c r="A48" s="975"/>
      <c r="B48" s="1000"/>
      <c r="C48" s="1001"/>
      <c r="D48" s="1000"/>
      <c r="E48" s="1002"/>
      <c r="F48" s="1000"/>
      <c r="G48" s="1001"/>
      <c r="H48" s="1003"/>
      <c r="I48" s="1004"/>
    </row>
    <row r="49" spans="1:9" ht="15.75" customHeight="1">
      <c r="A49" s="975" t="s">
        <v>62</v>
      </c>
      <c r="B49" s="1005"/>
      <c r="C49" s="1006"/>
      <c r="D49" s="1005"/>
      <c r="E49" s="1007"/>
      <c r="F49" s="1005"/>
      <c r="G49" s="1006"/>
      <c r="H49" s="1008"/>
      <c r="I49" s="1009"/>
    </row>
    <row r="50" spans="1:9" ht="15.75" customHeight="1">
      <c r="A50" s="975" t="s">
        <v>63</v>
      </c>
      <c r="B50" s="1005"/>
      <c r="C50" s="1006"/>
      <c r="D50" s="1005"/>
      <c r="E50" s="1007"/>
      <c r="F50" s="1005"/>
      <c r="G50" s="1006" t="s">
        <v>64</v>
      </c>
      <c r="H50" s="1010"/>
      <c r="I50" s="1011"/>
    </row>
    <row r="51" spans="1:9" ht="15.75" customHeight="1">
      <c r="A51" s="975" t="s">
        <v>157</v>
      </c>
      <c r="B51" s="1005"/>
      <c r="C51" s="1006"/>
      <c r="D51" s="1005"/>
      <c r="E51" s="551"/>
      <c r="F51" s="551"/>
      <c r="G51" s="1010" t="s">
        <v>66</v>
      </c>
      <c r="H51" s="551"/>
      <c r="I51" s="1012"/>
    </row>
    <row r="52" spans="1:9" ht="15.75" customHeight="1">
      <c r="A52" s="975" t="s">
        <v>158</v>
      </c>
      <c r="B52" s="1005"/>
      <c r="C52" s="1006"/>
      <c r="D52" s="1005"/>
      <c r="E52" s="1007"/>
      <c r="F52" s="1005"/>
      <c r="G52" s="1006"/>
      <c r="H52" s="1010"/>
      <c r="I52" s="1012"/>
    </row>
    <row r="53" spans="1:9" ht="15.75" customHeight="1">
      <c r="A53" s="975" t="s">
        <v>159</v>
      </c>
      <c r="B53" s="1005"/>
      <c r="C53" s="1006"/>
      <c r="D53" s="1005"/>
      <c r="E53" s="1007"/>
      <c r="F53" s="1005"/>
      <c r="G53" s="1006"/>
      <c r="H53" s="1010"/>
      <c r="I53" s="1012"/>
    </row>
    <row r="54" spans="2:9" ht="15.75" customHeight="1">
      <c r="B54" s="762"/>
      <c r="C54" s="844"/>
      <c r="D54" s="838"/>
      <c r="E54" s="837"/>
      <c r="F54" s="838"/>
      <c r="G54" s="844"/>
      <c r="H54" s="969"/>
      <c r="I54" s="839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  <row r="68" spans="3:9" ht="15.75" customHeight="1">
      <c r="C68" s="405"/>
      <c r="D68" s="388"/>
      <c r="E68" s="399"/>
      <c r="F68" s="388"/>
      <c r="G68" s="405"/>
      <c r="H68" s="970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9.140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9.140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75" t="s">
        <v>1890</v>
      </c>
      <c r="B1" s="976"/>
      <c r="C1" s="977"/>
      <c r="D1" s="976"/>
      <c r="E1" s="978"/>
      <c r="F1" s="976"/>
      <c r="G1" s="977"/>
      <c r="H1" s="979"/>
      <c r="I1" s="980"/>
    </row>
    <row r="2" spans="1:9" ht="15.75" customHeight="1">
      <c r="A2" s="975" t="s">
        <v>1891</v>
      </c>
      <c r="B2" s="976"/>
      <c r="C2" s="977"/>
      <c r="D2" s="976"/>
      <c r="E2" s="978"/>
      <c r="F2" s="976"/>
      <c r="G2" s="977"/>
      <c r="H2" s="979"/>
      <c r="I2" s="980"/>
    </row>
    <row r="3" spans="1:9" ht="15.75" customHeight="1">
      <c r="A3" s="975" t="s">
        <v>58</v>
      </c>
      <c r="B3" s="976"/>
      <c r="C3" s="977"/>
      <c r="D3" s="976"/>
      <c r="E3" s="978"/>
      <c r="F3" s="976"/>
      <c r="G3" s="977"/>
      <c r="H3" s="979"/>
      <c r="I3" s="980"/>
    </row>
    <row r="4" spans="1:9" ht="15.75" customHeight="1">
      <c r="A4" s="975" t="s">
        <v>8</v>
      </c>
      <c r="B4" s="976"/>
      <c r="C4" s="977"/>
      <c r="D4" s="976"/>
      <c r="E4" s="978"/>
      <c r="F4" s="976"/>
      <c r="G4" s="977"/>
      <c r="H4" s="979"/>
      <c r="I4" s="980"/>
    </row>
    <row r="5" spans="1:9" ht="15.75" customHeight="1">
      <c r="A5" s="975" t="s">
        <v>9</v>
      </c>
      <c r="B5" s="976"/>
      <c r="C5" s="977"/>
      <c r="D5" s="976"/>
      <c r="E5" s="981"/>
      <c r="F5" s="976"/>
      <c r="G5" s="977"/>
      <c r="H5" s="979"/>
      <c r="I5" s="980"/>
    </row>
    <row r="6" spans="1:9" ht="15.75" customHeight="1">
      <c r="A6" s="975" t="s">
        <v>59</v>
      </c>
      <c r="B6" s="976"/>
      <c r="C6" s="977"/>
      <c r="D6" s="976"/>
      <c r="E6" s="978"/>
      <c r="F6" s="976"/>
      <c r="G6" s="977"/>
      <c r="H6" s="979"/>
      <c r="I6" s="980"/>
    </row>
    <row r="7" spans="1:9" ht="15.75" customHeight="1">
      <c r="A7" s="975" t="s">
        <v>60</v>
      </c>
      <c r="B7" s="976"/>
      <c r="C7" s="977"/>
      <c r="D7" s="976"/>
      <c r="E7" s="982" t="s">
        <v>61</v>
      </c>
      <c r="F7" s="976"/>
      <c r="G7" s="977"/>
      <c r="H7" s="979"/>
      <c r="I7" s="980"/>
    </row>
    <row r="8" spans="1:9" ht="15.75" customHeight="1">
      <c r="A8" s="975" t="s">
        <v>1892</v>
      </c>
      <c r="B8" s="983"/>
      <c r="C8" s="984"/>
      <c r="D8" s="983"/>
      <c r="E8" s="985"/>
      <c r="F8" s="983"/>
      <c r="G8" s="984"/>
      <c r="H8" s="986"/>
      <c r="I8" s="987"/>
    </row>
    <row r="9" spans="1:9" ht="15.75" customHeight="1">
      <c r="A9" s="975"/>
      <c r="B9" s="983"/>
      <c r="C9" s="984" t="s">
        <v>1893</v>
      </c>
      <c r="D9" s="983"/>
      <c r="E9" s="985"/>
      <c r="F9" s="983"/>
      <c r="G9" s="984"/>
      <c r="H9" s="986"/>
      <c r="I9" s="987"/>
    </row>
    <row r="10" spans="1:9" ht="15.75" customHeight="1">
      <c r="A10" s="988" t="s">
        <v>82</v>
      </c>
      <c r="B10" s="983"/>
      <c r="C10" s="984" t="s">
        <v>83</v>
      </c>
      <c r="D10" s="983"/>
      <c r="E10" s="985" t="s">
        <v>34</v>
      </c>
      <c r="F10" s="983"/>
      <c r="G10" s="984" t="s">
        <v>84</v>
      </c>
      <c r="H10" s="979"/>
      <c r="I10" s="987"/>
    </row>
    <row r="11" spans="1:9" ht="15.75" customHeight="1">
      <c r="A11" s="988" t="s">
        <v>89</v>
      </c>
      <c r="B11" s="989" t="s">
        <v>6</v>
      </c>
      <c r="C11" s="990" t="s">
        <v>87</v>
      </c>
      <c r="D11" s="991" t="s">
        <v>6</v>
      </c>
      <c r="E11" s="992" t="s">
        <v>87</v>
      </c>
      <c r="F11" s="991" t="s">
        <v>6</v>
      </c>
      <c r="G11" s="990" t="s">
        <v>87</v>
      </c>
      <c r="H11" s="993" t="s">
        <v>35</v>
      </c>
      <c r="I11" s="987" t="s">
        <v>85</v>
      </c>
    </row>
    <row r="12" spans="1:9" ht="15.75" customHeight="1">
      <c r="A12" s="1013" t="s">
        <v>36</v>
      </c>
      <c r="B12" s="1014">
        <v>875</v>
      </c>
      <c r="C12" s="1015">
        <v>43175</v>
      </c>
      <c r="D12" s="1014">
        <v>0</v>
      </c>
      <c r="E12" s="1016">
        <v>0</v>
      </c>
      <c r="F12" s="1014">
        <v>875</v>
      </c>
      <c r="G12" s="1016">
        <v>43175</v>
      </c>
      <c r="H12" s="1017" t="s">
        <v>1894</v>
      </c>
      <c r="I12" s="1017">
        <v>128.41</v>
      </c>
    </row>
    <row r="13" spans="1:9" ht="15.75" customHeight="1">
      <c r="A13" s="1013" t="s">
        <v>213</v>
      </c>
      <c r="B13" s="1014">
        <v>55</v>
      </c>
      <c r="C13" s="1015">
        <v>2739</v>
      </c>
      <c r="D13" s="1014">
        <v>0</v>
      </c>
      <c r="E13" s="1016">
        <v>0</v>
      </c>
      <c r="F13" s="1014">
        <v>55</v>
      </c>
      <c r="G13" s="1016">
        <v>2739</v>
      </c>
      <c r="H13" s="1017" t="s">
        <v>1895</v>
      </c>
      <c r="I13" s="1017">
        <v>150.43</v>
      </c>
    </row>
    <row r="14" spans="1:9" ht="15.75" customHeight="1">
      <c r="A14" s="1013" t="s">
        <v>586</v>
      </c>
      <c r="B14" s="1018"/>
      <c r="C14" s="1015">
        <v>0</v>
      </c>
      <c r="D14" s="1014">
        <v>30</v>
      </c>
      <c r="E14" s="1016">
        <v>1494.2</v>
      </c>
      <c r="F14" s="1014">
        <v>30</v>
      </c>
      <c r="G14" s="1016">
        <v>1494.2</v>
      </c>
      <c r="H14" s="1017" t="s">
        <v>1896</v>
      </c>
      <c r="I14" s="1017">
        <v>187.21</v>
      </c>
    </row>
    <row r="15" spans="1:9" ht="15.75" customHeight="1">
      <c r="A15" s="1013" t="s">
        <v>1247</v>
      </c>
      <c r="B15" s="1014">
        <f>70+28+11</f>
        <v>109</v>
      </c>
      <c r="C15" s="1015">
        <f>3482+1396+548.5</f>
        <v>5426.5</v>
      </c>
      <c r="D15" s="1014">
        <v>0</v>
      </c>
      <c r="E15" s="1016">
        <v>0</v>
      </c>
      <c r="F15" s="1014">
        <f>70+28+11</f>
        <v>109</v>
      </c>
      <c r="G15" s="1016">
        <f>3482+1396+548.5</f>
        <v>5426.5</v>
      </c>
      <c r="H15" s="1017">
        <f>397451+306729.5+156322.5</f>
        <v>860503</v>
      </c>
      <c r="I15" s="1017">
        <f>H15/G15</f>
        <v>158.57421910992352</v>
      </c>
    </row>
    <row r="16" spans="1:9" ht="15.75" customHeight="1">
      <c r="A16" s="1013" t="s">
        <v>40</v>
      </c>
      <c r="B16" s="1014">
        <v>10</v>
      </c>
      <c r="C16" s="1015">
        <v>497</v>
      </c>
      <c r="D16" s="1014">
        <v>0</v>
      </c>
      <c r="E16" s="1016">
        <v>0</v>
      </c>
      <c r="F16" s="1014">
        <v>10</v>
      </c>
      <c r="G16" s="1016">
        <v>497</v>
      </c>
      <c r="H16" s="1017">
        <v>60137</v>
      </c>
      <c r="I16" s="1017">
        <v>121</v>
      </c>
    </row>
    <row r="17" spans="1:9" ht="15.75" customHeight="1">
      <c r="A17" s="1013" t="s">
        <v>176</v>
      </c>
      <c r="B17" s="1014">
        <v>10</v>
      </c>
      <c r="C17" s="1015">
        <v>498.5</v>
      </c>
      <c r="D17" s="1014">
        <v>0</v>
      </c>
      <c r="E17" s="1016">
        <v>0</v>
      </c>
      <c r="F17" s="1014">
        <v>10</v>
      </c>
      <c r="G17" s="1016">
        <v>498.5</v>
      </c>
      <c r="H17" s="1017" t="s">
        <v>1897</v>
      </c>
      <c r="I17" s="1017">
        <v>256</v>
      </c>
    </row>
    <row r="18" spans="1:9" ht="15.75" customHeight="1">
      <c r="A18" s="1013" t="s">
        <v>42</v>
      </c>
      <c r="B18" s="1018"/>
      <c r="C18" s="1015">
        <v>0</v>
      </c>
      <c r="D18" s="1014">
        <v>10</v>
      </c>
      <c r="E18" s="1016">
        <v>499.2</v>
      </c>
      <c r="F18" s="1014">
        <v>10</v>
      </c>
      <c r="G18" s="1016">
        <v>499.2</v>
      </c>
      <c r="H18" s="1017">
        <v>79872</v>
      </c>
      <c r="I18" s="1017">
        <v>160</v>
      </c>
    </row>
    <row r="19" spans="1:9" ht="15.75" customHeight="1">
      <c r="A19" s="1013" t="s">
        <v>43</v>
      </c>
      <c r="B19" s="1014">
        <v>308</v>
      </c>
      <c r="C19" s="1015">
        <v>15356</v>
      </c>
      <c r="D19" s="1014">
        <v>65</v>
      </c>
      <c r="E19" s="1016">
        <v>3243.6</v>
      </c>
      <c r="F19" s="1014">
        <v>373</v>
      </c>
      <c r="G19" s="1016">
        <v>18599.6</v>
      </c>
      <c r="H19" s="1017" t="s">
        <v>1898</v>
      </c>
      <c r="I19" s="1017">
        <v>182.55</v>
      </c>
    </row>
    <row r="20" spans="1:9" ht="15.75" customHeight="1">
      <c r="A20" s="1013" t="s">
        <v>45</v>
      </c>
      <c r="B20" s="1014">
        <v>30</v>
      </c>
      <c r="C20" s="1015">
        <v>1492.5</v>
      </c>
      <c r="D20" s="1014">
        <v>10</v>
      </c>
      <c r="E20" s="1016">
        <v>499.2</v>
      </c>
      <c r="F20" s="1014">
        <v>40</v>
      </c>
      <c r="G20" s="1016">
        <v>1991.7</v>
      </c>
      <c r="H20" s="1017" t="s">
        <v>1899</v>
      </c>
      <c r="I20" s="1017">
        <v>139.01</v>
      </c>
    </row>
    <row r="21" spans="1:9" ht="15.75" customHeight="1">
      <c r="A21" s="1013" t="s">
        <v>183</v>
      </c>
      <c r="B21" s="1014">
        <v>32</v>
      </c>
      <c r="C21" s="1015">
        <v>1595.5</v>
      </c>
      <c r="D21" s="1014">
        <f>4+15</f>
        <v>19</v>
      </c>
      <c r="E21" s="1016">
        <f>198+748.2</f>
        <v>946.2</v>
      </c>
      <c r="F21" s="1014">
        <f>36+15</f>
        <v>51</v>
      </c>
      <c r="G21" s="1016">
        <f>1793.5+748.2</f>
        <v>2541.7</v>
      </c>
      <c r="H21" s="1017">
        <f>498832.5+124662</f>
        <v>623494.5</v>
      </c>
      <c r="I21" s="1017">
        <f>H21/G21</f>
        <v>245.30609434630367</v>
      </c>
    </row>
    <row r="22" spans="1:9" ht="15.75" customHeight="1">
      <c r="A22" s="1013" t="s">
        <v>55</v>
      </c>
      <c r="B22" s="1018"/>
      <c r="C22" s="1015">
        <v>0</v>
      </c>
      <c r="D22" s="1014">
        <f>21+20</f>
        <v>41</v>
      </c>
      <c r="E22" s="1016">
        <f>1046.9+997.6</f>
        <v>2044.5</v>
      </c>
      <c r="F22" s="1014">
        <f>21+20</f>
        <v>41</v>
      </c>
      <c r="G22" s="1016">
        <f>1046.9+997.6</f>
        <v>2044.5</v>
      </c>
      <c r="H22" s="1017">
        <f>180219.4+123707.2</f>
        <v>303926.6</v>
      </c>
      <c r="I22" s="1017">
        <f>H22/G22</f>
        <v>148.655710442651</v>
      </c>
    </row>
    <row r="23" spans="1:9" ht="15.75" customHeight="1">
      <c r="A23" s="1013" t="s">
        <v>1900</v>
      </c>
      <c r="B23" s="1014">
        <v>20</v>
      </c>
      <c r="C23" s="1015">
        <v>997</v>
      </c>
      <c r="D23" s="1014">
        <v>0</v>
      </c>
      <c r="E23" s="1016">
        <v>0</v>
      </c>
      <c r="F23" s="1014">
        <v>20</v>
      </c>
      <c r="G23" s="1016">
        <v>997</v>
      </c>
      <c r="H23" s="1017">
        <v>98703</v>
      </c>
      <c r="I23" s="1017">
        <v>99</v>
      </c>
    </row>
    <row r="24" spans="1:9" ht="15.75" customHeight="1">
      <c r="A24" s="1013" t="s">
        <v>46</v>
      </c>
      <c r="B24" s="1014">
        <v>362</v>
      </c>
      <c r="C24" s="1015">
        <v>17992</v>
      </c>
      <c r="D24" s="1014">
        <v>13</v>
      </c>
      <c r="E24" s="1016">
        <v>647.4</v>
      </c>
      <c r="F24" s="1014">
        <v>375</v>
      </c>
      <c r="G24" s="1016">
        <v>18639.4</v>
      </c>
      <c r="H24" s="1017" t="s">
        <v>1901</v>
      </c>
      <c r="I24" s="1017">
        <v>151.77</v>
      </c>
    </row>
    <row r="25" spans="1:9" ht="15.75" customHeight="1">
      <c r="A25" s="1013" t="s">
        <v>194</v>
      </c>
      <c r="B25" s="1018"/>
      <c r="C25" s="1015">
        <v>0</v>
      </c>
      <c r="D25" s="1014">
        <v>19</v>
      </c>
      <c r="E25" s="1016">
        <v>947.9</v>
      </c>
      <c r="F25" s="1014">
        <v>19</v>
      </c>
      <c r="G25" s="1016">
        <v>947.9</v>
      </c>
      <c r="H25" s="1017" t="s">
        <v>1902</v>
      </c>
      <c r="I25" s="1017">
        <v>169.58</v>
      </c>
    </row>
    <row r="26" spans="1:9" ht="15.75" customHeight="1">
      <c r="A26" s="1013" t="s">
        <v>1263</v>
      </c>
      <c r="B26" s="1018"/>
      <c r="C26" s="1015">
        <v>0</v>
      </c>
      <c r="D26" s="1014">
        <v>70</v>
      </c>
      <c r="E26" s="1016">
        <v>3485.6</v>
      </c>
      <c r="F26" s="1014">
        <v>70</v>
      </c>
      <c r="G26" s="1016">
        <v>3485.6</v>
      </c>
      <c r="H26" s="1017" t="s">
        <v>1903</v>
      </c>
      <c r="I26" s="1017">
        <v>122.86</v>
      </c>
    </row>
    <row r="27" spans="1:9" ht="15.75" customHeight="1">
      <c r="A27" s="1013" t="s">
        <v>51</v>
      </c>
      <c r="B27" s="1014">
        <f>10+70</f>
        <v>80</v>
      </c>
      <c r="C27" s="1015">
        <f>498.5+1497+1985</f>
        <v>3980.5</v>
      </c>
      <c r="D27" s="1014">
        <v>10</v>
      </c>
      <c r="E27" s="1016">
        <v>498.4</v>
      </c>
      <c r="F27" s="1014">
        <f>10+80</f>
        <v>90</v>
      </c>
      <c r="G27" s="1016">
        <f>498.5+1995.4+1985</f>
        <v>4478.9</v>
      </c>
      <c r="H27" s="1017">
        <f>139081.5+294830+262042.5</f>
        <v>695954</v>
      </c>
      <c r="I27" s="1017">
        <f>H27/G27</f>
        <v>155.38502757373465</v>
      </c>
    </row>
    <row r="28" spans="1:9" ht="15.75" customHeight="1">
      <c r="A28" s="1013" t="s">
        <v>1624</v>
      </c>
      <c r="B28" s="1014">
        <f>10+130</f>
        <v>140</v>
      </c>
      <c r="C28" s="1015">
        <f>495.5+6473</f>
        <v>6968.5</v>
      </c>
      <c r="D28" s="1014">
        <v>0</v>
      </c>
      <c r="E28" s="1016">
        <v>0</v>
      </c>
      <c r="F28" s="1014">
        <f>10+130</f>
        <v>140</v>
      </c>
      <c r="G28" s="1016">
        <f>495.5+6473</f>
        <v>6968.5</v>
      </c>
      <c r="H28" s="1017">
        <f>54505+786216.5</f>
        <v>840721.5</v>
      </c>
      <c r="I28" s="1017">
        <f>H28/G28</f>
        <v>120.6459783310612</v>
      </c>
    </row>
    <row r="29" spans="1:9" ht="15.75" customHeight="1">
      <c r="A29" s="1013" t="s">
        <v>1021</v>
      </c>
      <c r="B29" s="1018"/>
      <c r="C29" s="1015">
        <v>0</v>
      </c>
      <c r="D29" s="1014">
        <f>30+40</f>
        <v>70</v>
      </c>
      <c r="E29" s="1016">
        <f>1495.2+1995.2</f>
        <v>3490.4</v>
      </c>
      <c r="F29" s="1014">
        <f>30+40</f>
        <v>70</v>
      </c>
      <c r="G29" s="1016">
        <f>1495.2+1995.2</f>
        <v>3490.4</v>
      </c>
      <c r="H29" s="1017">
        <f>183909.6+268372</f>
        <v>452281.6</v>
      </c>
      <c r="I29" s="1017">
        <f>H29/G29</f>
        <v>129.57873023149207</v>
      </c>
    </row>
    <row r="30" spans="1:9" ht="15.75" customHeight="1">
      <c r="A30" s="1013" t="s">
        <v>198</v>
      </c>
      <c r="B30" s="1018"/>
      <c r="C30" s="1015">
        <v>0</v>
      </c>
      <c r="D30" s="1014">
        <v>30</v>
      </c>
      <c r="E30" s="1016">
        <v>1489</v>
      </c>
      <c r="F30" s="1014">
        <v>30</v>
      </c>
      <c r="G30" s="1016">
        <v>1489</v>
      </c>
      <c r="H30" s="1017" t="s">
        <v>1904</v>
      </c>
      <c r="I30" s="1017">
        <v>179.87</v>
      </c>
    </row>
    <row r="31" spans="1:9" ht="15.75" customHeight="1">
      <c r="A31" s="1013" t="s">
        <v>707</v>
      </c>
      <c r="B31" s="1014">
        <v>10</v>
      </c>
      <c r="C31" s="1015">
        <v>498.5</v>
      </c>
      <c r="D31" s="1014">
        <v>0</v>
      </c>
      <c r="E31" s="1016">
        <v>0</v>
      </c>
      <c r="F31" s="1014">
        <v>10</v>
      </c>
      <c r="G31" s="1016">
        <v>498.5</v>
      </c>
      <c r="H31" s="1017" t="s">
        <v>1905</v>
      </c>
      <c r="I31" s="1017">
        <v>277</v>
      </c>
    </row>
    <row r="32" spans="1:9" ht="15.75" customHeight="1">
      <c r="A32" s="1013" t="s">
        <v>374</v>
      </c>
      <c r="B32" s="1014">
        <f>81+62</f>
        <v>143</v>
      </c>
      <c r="C32" s="1015">
        <f>4042.5+3088</f>
        <v>7130.5</v>
      </c>
      <c r="D32" s="1014">
        <v>26</v>
      </c>
      <c r="E32" s="1016">
        <v>1297.5</v>
      </c>
      <c r="F32" s="1014">
        <f>81+88</f>
        <v>169</v>
      </c>
      <c r="G32" s="1016">
        <f>4042.5+4285.5</f>
        <v>8328</v>
      </c>
      <c r="H32" s="1017">
        <f>582038+956583</f>
        <v>1538621</v>
      </c>
      <c r="I32" s="1017">
        <f>H32/G32</f>
        <v>184.7527617675312</v>
      </c>
    </row>
    <row r="33" spans="1:9" ht="15.75" customHeight="1">
      <c r="A33" s="1013" t="s">
        <v>53</v>
      </c>
      <c r="B33" s="1014">
        <f>134+10</f>
        <v>144</v>
      </c>
      <c r="C33" s="1015">
        <f>6673+500</f>
        <v>7173</v>
      </c>
      <c r="D33" s="1014">
        <v>0</v>
      </c>
      <c r="E33" s="1016">
        <v>0</v>
      </c>
      <c r="F33" s="1014">
        <f>134+10</f>
        <v>144</v>
      </c>
      <c r="G33" s="1016">
        <f>6673+500</f>
        <v>7173</v>
      </c>
      <c r="H33" s="1017">
        <f>1640518+64500</f>
        <v>1705018</v>
      </c>
      <c r="I33" s="1017">
        <f>H33/G33</f>
        <v>237.69942841210093</v>
      </c>
    </row>
    <row r="34" spans="1:9" ht="15.75" customHeight="1">
      <c r="A34" s="1013" t="s">
        <v>54</v>
      </c>
      <c r="B34" s="1014">
        <f>50+64</f>
        <v>114</v>
      </c>
      <c r="C34" s="1015">
        <f>2492.5+3106.5</f>
        <v>5599</v>
      </c>
      <c r="D34" s="1014">
        <v>12</v>
      </c>
      <c r="E34" s="1016">
        <v>598.2</v>
      </c>
      <c r="F34" s="1014">
        <f>50+76</f>
        <v>126</v>
      </c>
      <c r="G34" s="1016">
        <f>2492.5+3704.7</f>
        <v>6197.2</v>
      </c>
      <c r="H34" s="1017">
        <f>398387+816422.5</f>
        <v>1214809.5</v>
      </c>
      <c r="I34" s="1017">
        <f>H34/G34</f>
        <v>196.02554379397148</v>
      </c>
    </row>
    <row r="35" spans="1:9" ht="15.75" customHeight="1">
      <c r="A35" s="1013" t="s">
        <v>71</v>
      </c>
      <c r="B35" s="1014">
        <v>63</v>
      </c>
      <c r="C35" s="1015">
        <v>3138</v>
      </c>
      <c r="D35" s="1014">
        <v>10</v>
      </c>
      <c r="E35" s="1016">
        <v>498.5</v>
      </c>
      <c r="F35" s="1014">
        <v>73</v>
      </c>
      <c r="G35" s="1016">
        <v>3636.5</v>
      </c>
      <c r="H35" s="1017" t="s">
        <v>1906</v>
      </c>
      <c r="I35" s="1017">
        <v>128.48</v>
      </c>
    </row>
    <row r="36" spans="1:9" ht="15.75" customHeight="1">
      <c r="A36" s="1013" t="s">
        <v>243</v>
      </c>
      <c r="B36" s="1014">
        <v>95</v>
      </c>
      <c r="C36" s="1015">
        <v>4719.5</v>
      </c>
      <c r="D36" s="1014">
        <v>0</v>
      </c>
      <c r="E36" s="1016">
        <v>0</v>
      </c>
      <c r="F36" s="1014">
        <v>95</v>
      </c>
      <c r="G36" s="1016">
        <v>4719.5</v>
      </c>
      <c r="H36" s="1017" t="s">
        <v>1907</v>
      </c>
      <c r="I36" s="1017">
        <v>142.48</v>
      </c>
    </row>
    <row r="37" spans="1:9" ht="15.75" customHeight="1">
      <c r="A37" s="1013" t="s">
        <v>19</v>
      </c>
      <c r="B37" s="1019">
        <v>2600</v>
      </c>
      <c r="C37" s="1015" t="s">
        <v>1908</v>
      </c>
      <c r="D37" s="1014">
        <v>435</v>
      </c>
      <c r="E37" s="1016">
        <v>21679.8</v>
      </c>
      <c r="F37" s="1019">
        <v>3035</v>
      </c>
      <c r="G37" s="1016" t="s">
        <v>1909</v>
      </c>
      <c r="H37" s="1017" t="s">
        <v>1910</v>
      </c>
      <c r="I37" s="1017">
        <v>155.81</v>
      </c>
    </row>
    <row r="38" spans="1:9" ht="15.75" customHeight="1">
      <c r="A38" s="975"/>
      <c r="B38" s="1000"/>
      <c r="C38" s="1001"/>
      <c r="D38" s="1000"/>
      <c r="E38" s="1002"/>
      <c r="F38" s="1000"/>
      <c r="G38" s="1001"/>
      <c r="H38" s="1003"/>
      <c r="I38" s="1004"/>
    </row>
    <row r="39" spans="1:9" ht="15.75" customHeight="1">
      <c r="A39" s="975" t="s">
        <v>62</v>
      </c>
      <c r="B39" s="1005"/>
      <c r="C39" s="1006"/>
      <c r="D39" s="1005"/>
      <c r="E39" s="1007"/>
      <c r="F39" s="1005"/>
      <c r="G39" s="1006"/>
      <c r="H39" s="1008"/>
      <c r="I39" s="1009"/>
    </row>
    <row r="40" spans="1:9" ht="15.75" customHeight="1">
      <c r="A40" s="975" t="s">
        <v>63</v>
      </c>
      <c r="B40" s="1005"/>
      <c r="C40" s="1006"/>
      <c r="D40" s="1005"/>
      <c r="E40" s="1007"/>
      <c r="F40" s="1005"/>
      <c r="G40" s="1006" t="s">
        <v>64</v>
      </c>
      <c r="H40" s="1010"/>
      <c r="I40" s="1011"/>
    </row>
    <row r="41" spans="1:9" ht="15.75" customHeight="1">
      <c r="A41" s="975" t="s">
        <v>157</v>
      </c>
      <c r="B41" s="1005"/>
      <c r="C41" s="1006"/>
      <c r="D41" s="1005"/>
      <c r="E41" s="1007"/>
      <c r="F41" s="1005"/>
      <c r="G41" s="1006"/>
      <c r="H41" s="1010" t="s">
        <v>66</v>
      </c>
      <c r="I41" s="1012"/>
    </row>
    <row r="42" spans="1:9" ht="15.75" customHeight="1">
      <c r="A42" s="975" t="s">
        <v>158</v>
      </c>
      <c r="B42" s="1005"/>
      <c r="C42" s="1006"/>
      <c r="D42" s="1005"/>
      <c r="E42" s="1007"/>
      <c r="F42" s="1005"/>
      <c r="G42" s="1006"/>
      <c r="H42" s="1010"/>
      <c r="I42" s="1012"/>
    </row>
    <row r="43" spans="1:9" ht="15.75" customHeight="1">
      <c r="A43" s="975" t="s">
        <v>159</v>
      </c>
      <c r="B43" s="1005"/>
      <c r="C43" s="1006"/>
      <c r="D43" s="1005"/>
      <c r="E43" s="1007"/>
      <c r="F43" s="1005"/>
      <c r="G43" s="1006"/>
      <c r="H43" s="1010"/>
      <c r="I43" s="1012"/>
    </row>
    <row r="44" spans="2:9" ht="15.75" customHeight="1">
      <c r="B44" s="762"/>
      <c r="C44" s="844"/>
      <c r="D44" s="838"/>
      <c r="E44" s="837"/>
      <c r="F44" s="838"/>
      <c r="G44" s="844"/>
      <c r="H44" s="969"/>
      <c r="I44" s="839"/>
    </row>
    <row r="45" spans="3:9" ht="15.75" customHeight="1">
      <c r="C45" s="405"/>
      <c r="D45" s="388"/>
      <c r="E45" s="399"/>
      <c r="F45" s="388"/>
      <c r="G45" s="405"/>
      <c r="H45" s="970"/>
      <c r="I45" s="391"/>
    </row>
    <row r="46" spans="3:9" ht="15.75" customHeight="1">
      <c r="C46" s="405"/>
      <c r="D46" s="388"/>
      <c r="E46" s="399"/>
      <c r="F46" s="388"/>
      <c r="G46" s="405"/>
      <c r="H46" s="970"/>
      <c r="I46" s="391"/>
    </row>
    <row r="47" spans="3:9" ht="15.75" customHeight="1">
      <c r="C47" s="405"/>
      <c r="D47" s="388"/>
      <c r="E47" s="399"/>
      <c r="F47" s="388"/>
      <c r="G47" s="405"/>
      <c r="H47" s="970"/>
      <c r="I47" s="391"/>
    </row>
    <row r="48" spans="3:9" ht="15.75" customHeight="1">
      <c r="C48" s="405"/>
      <c r="D48" s="388"/>
      <c r="E48" s="399"/>
      <c r="F48" s="388"/>
      <c r="G48" s="405"/>
      <c r="H48" s="970"/>
      <c r="I48" s="391"/>
    </row>
    <row r="49" spans="3:9" ht="15.75" customHeight="1">
      <c r="C49" s="405"/>
      <c r="D49" s="388"/>
      <c r="E49" s="399"/>
      <c r="F49" s="388"/>
      <c r="G49" s="405"/>
      <c r="H49" s="970"/>
      <c r="I49" s="391"/>
    </row>
    <row r="50" spans="3:9" ht="15.75" customHeight="1">
      <c r="C50" s="405"/>
      <c r="D50" s="388"/>
      <c r="E50" s="399"/>
      <c r="F50" s="388"/>
      <c r="G50" s="405"/>
      <c r="H50" s="970"/>
      <c r="I50" s="391"/>
    </row>
    <row r="51" spans="3:9" ht="15.75" customHeight="1">
      <c r="C51" s="405"/>
      <c r="D51" s="388"/>
      <c r="E51" s="399"/>
      <c r="F51" s="388"/>
      <c r="G51" s="405"/>
      <c r="H51" s="970"/>
      <c r="I51" s="391"/>
    </row>
    <row r="52" spans="3:9" ht="15.75" customHeight="1">
      <c r="C52" s="405"/>
      <c r="D52" s="388"/>
      <c r="E52" s="399"/>
      <c r="F52" s="388"/>
      <c r="G52" s="405"/>
      <c r="H52" s="970"/>
      <c r="I52" s="391"/>
    </row>
    <row r="53" spans="3:9" ht="15.75" customHeight="1">
      <c r="C53" s="405"/>
      <c r="D53" s="388"/>
      <c r="E53" s="399"/>
      <c r="F53" s="388"/>
      <c r="G53" s="405"/>
      <c r="H53" s="970"/>
      <c r="I53" s="391"/>
    </row>
    <row r="54" spans="3:9" ht="15.75" customHeight="1">
      <c r="C54" s="405"/>
      <c r="D54" s="388"/>
      <c r="E54" s="399"/>
      <c r="F54" s="388"/>
      <c r="G54" s="405"/>
      <c r="H54" s="970"/>
      <c r="I54" s="391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4.2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4.2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4.2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4.2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4.2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4.2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4.2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4.2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4.2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4.2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4.2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4.2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4.2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4.2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4.2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4.2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4.2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4.2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4.2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4.2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4.2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4.2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4.2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4.2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4.2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4.2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4.25">
      <c r="F41" s="143"/>
      <c r="G41" s="145"/>
      <c r="H41" s="139" t="s">
        <v>66</v>
      </c>
      <c r="I41" s="146"/>
      <c r="J41" s="103"/>
    </row>
    <row r="42" spans="1:10" ht="14.2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4.2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4.2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4.2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4.2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4.2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4.2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4.2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4.2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4.2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4.2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4.2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4.2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4.2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4.2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4.2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4.2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4.2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4.2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4.2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4.2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4.2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4.2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4.2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4.2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4.2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4.2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4.2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4.2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4.2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4.2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4.2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4.2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4.2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4.2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4.2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4.2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4.2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4.2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4.2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4.2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4.2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4.2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4.2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4.2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4.2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4.2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4.2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4.2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4.2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4.2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4.2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4.2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4.2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4.2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4.2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4.2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4.2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4.2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4.2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4.2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4.2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4.2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4.2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4.2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4.2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4.2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4.2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4.2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4.2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4.2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4.2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4.2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75" t="s">
        <v>1886</v>
      </c>
      <c r="B1" s="976"/>
      <c r="C1" s="977"/>
      <c r="D1" s="976"/>
      <c r="E1" s="978"/>
      <c r="F1" s="976"/>
      <c r="G1" s="977"/>
      <c r="H1" s="979"/>
      <c r="I1" s="980"/>
    </row>
    <row r="2" spans="1:9" ht="15.75" customHeight="1">
      <c r="A2" s="975" t="s">
        <v>1887</v>
      </c>
      <c r="B2" s="976"/>
      <c r="C2" s="977"/>
      <c r="D2" s="976"/>
      <c r="E2" s="978"/>
      <c r="F2" s="976"/>
      <c r="G2" s="977"/>
      <c r="H2" s="979"/>
      <c r="I2" s="980"/>
    </row>
    <row r="3" spans="1:9" ht="15.75" customHeight="1">
      <c r="A3" s="975" t="s">
        <v>58</v>
      </c>
      <c r="B3" s="976"/>
      <c r="C3" s="977"/>
      <c r="D3" s="976"/>
      <c r="E3" s="978"/>
      <c r="F3" s="976"/>
      <c r="G3" s="977"/>
      <c r="H3" s="979"/>
      <c r="I3" s="980"/>
    </row>
    <row r="4" spans="1:9" ht="15.75" customHeight="1">
      <c r="A4" s="975" t="s">
        <v>8</v>
      </c>
      <c r="B4" s="976"/>
      <c r="C4" s="977"/>
      <c r="D4" s="976"/>
      <c r="E4" s="978"/>
      <c r="F4" s="976"/>
      <c r="G4" s="977"/>
      <c r="H4" s="979"/>
      <c r="I4" s="980"/>
    </row>
    <row r="5" spans="1:9" ht="15.75" customHeight="1">
      <c r="A5" s="975" t="s">
        <v>9</v>
      </c>
      <c r="B5" s="976"/>
      <c r="C5" s="977"/>
      <c r="D5" s="976"/>
      <c r="E5" s="981"/>
      <c r="F5" s="976"/>
      <c r="G5" s="977"/>
      <c r="H5" s="979"/>
      <c r="I5" s="980"/>
    </row>
    <row r="6" spans="1:9" ht="15.75" customHeight="1">
      <c r="A6" s="975" t="s">
        <v>59</v>
      </c>
      <c r="B6" s="976"/>
      <c r="C6" s="977"/>
      <c r="D6" s="976"/>
      <c r="E6" s="978"/>
      <c r="F6" s="976"/>
      <c r="G6" s="977"/>
      <c r="H6" s="979"/>
      <c r="I6" s="980"/>
    </row>
    <row r="7" spans="1:9" ht="15.75" customHeight="1">
      <c r="A7" s="975" t="s">
        <v>60</v>
      </c>
      <c r="B7" s="976"/>
      <c r="C7" s="977"/>
      <c r="D7" s="976"/>
      <c r="E7" s="982" t="s">
        <v>61</v>
      </c>
      <c r="F7" s="976"/>
      <c r="G7" s="977"/>
      <c r="H7" s="979"/>
      <c r="I7" s="980"/>
    </row>
    <row r="8" spans="1:9" ht="15.75" customHeight="1">
      <c r="A8" s="975" t="s">
        <v>1888</v>
      </c>
      <c r="B8" s="983"/>
      <c r="C8" s="984"/>
      <c r="D8" s="983"/>
      <c r="E8" s="985"/>
      <c r="F8" s="983"/>
      <c r="G8" s="984"/>
      <c r="H8" s="986"/>
      <c r="I8" s="987"/>
    </row>
    <row r="9" spans="1:9" ht="15.75" customHeight="1">
      <c r="A9" s="975"/>
      <c r="B9" s="983"/>
      <c r="C9" s="984" t="s">
        <v>1889</v>
      </c>
      <c r="D9" s="983"/>
      <c r="E9" s="985"/>
      <c r="F9" s="983"/>
      <c r="G9" s="984"/>
      <c r="H9" s="986"/>
      <c r="I9" s="987"/>
    </row>
    <row r="10" spans="1:9" ht="15.75" customHeight="1">
      <c r="A10" s="988" t="s">
        <v>82</v>
      </c>
      <c r="B10" s="983"/>
      <c r="C10" s="984" t="s">
        <v>83</v>
      </c>
      <c r="D10" s="983"/>
      <c r="E10" s="985" t="s">
        <v>34</v>
      </c>
      <c r="F10" s="983"/>
      <c r="G10" s="984" t="s">
        <v>84</v>
      </c>
      <c r="H10" s="979"/>
      <c r="I10" s="987"/>
    </row>
    <row r="11" spans="1:9" ht="15.75" customHeight="1">
      <c r="A11" s="988" t="s">
        <v>89</v>
      </c>
      <c r="B11" s="989" t="s">
        <v>6</v>
      </c>
      <c r="C11" s="990" t="s">
        <v>87</v>
      </c>
      <c r="D11" s="991" t="s">
        <v>6</v>
      </c>
      <c r="E11" s="992" t="s">
        <v>87</v>
      </c>
      <c r="F11" s="991" t="s">
        <v>6</v>
      </c>
      <c r="G11" s="990" t="s">
        <v>87</v>
      </c>
      <c r="H11" s="993" t="s">
        <v>35</v>
      </c>
      <c r="I11" s="987" t="s">
        <v>85</v>
      </c>
    </row>
    <row r="12" spans="1:9" ht="15.75" customHeight="1">
      <c r="A12" s="994" t="s">
        <v>347</v>
      </c>
      <c r="B12" s="995">
        <v>170</v>
      </c>
      <c r="C12" s="996">
        <v>8450.5</v>
      </c>
      <c r="D12" s="995">
        <v>0</v>
      </c>
      <c r="E12" s="997">
        <v>0</v>
      </c>
      <c r="F12" s="995">
        <v>170</v>
      </c>
      <c r="G12" s="996">
        <v>8450.5</v>
      </c>
      <c r="H12" s="998" t="s">
        <v>1854</v>
      </c>
      <c r="I12" s="999">
        <v>149.1</v>
      </c>
    </row>
    <row r="13" spans="1:9" ht="15.75" customHeight="1">
      <c r="A13" s="994" t="s">
        <v>36</v>
      </c>
      <c r="B13" s="995">
        <v>536</v>
      </c>
      <c r="C13" s="996">
        <v>26690.5</v>
      </c>
      <c r="D13" s="995">
        <v>10</v>
      </c>
      <c r="E13" s="997">
        <v>499.2</v>
      </c>
      <c r="F13" s="995">
        <v>546</v>
      </c>
      <c r="G13" s="996">
        <v>27189.7</v>
      </c>
      <c r="H13" s="998" t="s">
        <v>1855</v>
      </c>
      <c r="I13" s="999">
        <v>187.96</v>
      </c>
    </row>
    <row r="14" spans="1:9" ht="15.75" customHeight="1">
      <c r="A14" s="994" t="s">
        <v>490</v>
      </c>
      <c r="B14" s="995">
        <v>111</v>
      </c>
      <c r="C14" s="996">
        <v>5532</v>
      </c>
      <c r="D14" s="995">
        <v>0</v>
      </c>
      <c r="E14" s="997">
        <v>0</v>
      </c>
      <c r="F14" s="995">
        <v>111</v>
      </c>
      <c r="G14" s="996">
        <v>5532</v>
      </c>
      <c r="H14" s="998" t="s">
        <v>1856</v>
      </c>
      <c r="I14" s="999">
        <v>212.66</v>
      </c>
    </row>
    <row r="15" spans="1:9" ht="15.75" customHeight="1">
      <c r="A15" s="994" t="s">
        <v>132</v>
      </c>
      <c r="B15" s="995">
        <v>40</v>
      </c>
      <c r="C15" s="996">
        <v>1994.5</v>
      </c>
      <c r="D15" s="995">
        <v>40</v>
      </c>
      <c r="E15" s="997">
        <v>1996</v>
      </c>
      <c r="F15" s="995">
        <v>80</v>
      </c>
      <c r="G15" s="996">
        <v>3990.5</v>
      </c>
      <c r="H15" s="998" t="s">
        <v>1857</v>
      </c>
      <c r="I15" s="999">
        <v>177.38</v>
      </c>
    </row>
    <row r="16" spans="1:9" ht="15.75" customHeight="1">
      <c r="A16" s="994" t="s">
        <v>213</v>
      </c>
      <c r="B16" s="995">
        <v>120</v>
      </c>
      <c r="C16" s="996">
        <v>5986.5</v>
      </c>
      <c r="D16" s="995">
        <v>0</v>
      </c>
      <c r="E16" s="997">
        <v>0</v>
      </c>
      <c r="F16" s="995">
        <v>120</v>
      </c>
      <c r="G16" s="996">
        <v>5986.5</v>
      </c>
      <c r="H16" s="998" t="s">
        <v>1858</v>
      </c>
      <c r="I16" s="999">
        <v>129.09</v>
      </c>
    </row>
    <row r="17" spans="1:9" ht="15.75" customHeight="1">
      <c r="A17" s="994" t="s">
        <v>586</v>
      </c>
      <c r="B17" s="995"/>
      <c r="C17" s="996">
        <v>0</v>
      </c>
      <c r="D17" s="995">
        <v>56</v>
      </c>
      <c r="E17" s="997">
        <v>2792.3</v>
      </c>
      <c r="F17" s="995">
        <v>56</v>
      </c>
      <c r="G17" s="996">
        <v>2792.3</v>
      </c>
      <c r="H17" s="998" t="s">
        <v>1859</v>
      </c>
      <c r="I17" s="999">
        <v>211.24</v>
      </c>
    </row>
    <row r="18" spans="1:9" ht="15.75" customHeight="1">
      <c r="A18" s="994" t="s">
        <v>219</v>
      </c>
      <c r="B18" s="995">
        <v>30</v>
      </c>
      <c r="C18" s="996">
        <v>1494</v>
      </c>
      <c r="D18" s="995">
        <v>0</v>
      </c>
      <c r="E18" s="997">
        <v>0</v>
      </c>
      <c r="F18" s="995">
        <v>30</v>
      </c>
      <c r="G18" s="996">
        <v>1494</v>
      </c>
      <c r="H18" s="998" t="s">
        <v>1860</v>
      </c>
      <c r="I18" s="999">
        <v>252.01</v>
      </c>
    </row>
    <row r="19" spans="1:9" ht="15.75" customHeight="1">
      <c r="A19" s="994" t="s">
        <v>41</v>
      </c>
      <c r="B19" s="995">
        <v>10</v>
      </c>
      <c r="C19" s="996">
        <v>498.5</v>
      </c>
      <c r="D19" s="995">
        <v>0</v>
      </c>
      <c r="E19" s="997">
        <v>0</v>
      </c>
      <c r="F19" s="995">
        <v>10</v>
      </c>
      <c r="G19" s="996">
        <v>498.5</v>
      </c>
      <c r="H19" s="998">
        <v>73778</v>
      </c>
      <c r="I19" s="999">
        <v>148</v>
      </c>
    </row>
    <row r="20" spans="1:9" ht="15.75" customHeight="1">
      <c r="A20" s="994" t="s">
        <v>1784</v>
      </c>
      <c r="B20" s="995"/>
      <c r="C20" s="996">
        <v>0</v>
      </c>
      <c r="D20" s="995">
        <v>27</v>
      </c>
      <c r="E20" s="997">
        <v>1346.8</v>
      </c>
      <c r="F20" s="995">
        <v>27</v>
      </c>
      <c r="G20" s="996">
        <v>1346.8</v>
      </c>
      <c r="H20" s="998" t="s">
        <v>1861</v>
      </c>
      <c r="I20" s="999">
        <v>182.76</v>
      </c>
    </row>
    <row r="21" spans="1:9" ht="15.75" customHeight="1">
      <c r="A21" s="994" t="s">
        <v>42</v>
      </c>
      <c r="B21" s="995">
        <v>20</v>
      </c>
      <c r="C21" s="996">
        <v>997</v>
      </c>
      <c r="D21" s="995">
        <v>11</v>
      </c>
      <c r="E21" s="997">
        <v>549</v>
      </c>
      <c r="F21" s="995">
        <v>31</v>
      </c>
      <c r="G21" s="996">
        <v>1546</v>
      </c>
      <c r="H21" s="998" t="s">
        <v>1862</v>
      </c>
      <c r="I21" s="999">
        <v>188.03</v>
      </c>
    </row>
    <row r="22" spans="1:9" ht="15.75" customHeight="1">
      <c r="A22" s="994" t="s">
        <v>43</v>
      </c>
      <c r="B22" s="995">
        <v>665</v>
      </c>
      <c r="C22" s="996">
        <v>33163</v>
      </c>
      <c r="D22" s="995">
        <v>45</v>
      </c>
      <c r="E22" s="997">
        <v>2244.4</v>
      </c>
      <c r="F22" s="995">
        <v>710</v>
      </c>
      <c r="G22" s="996">
        <v>35407.4</v>
      </c>
      <c r="H22" s="998" t="s">
        <v>1863</v>
      </c>
      <c r="I22" s="999">
        <v>195.27</v>
      </c>
    </row>
    <row r="23" spans="1:9" ht="15.75" customHeight="1">
      <c r="A23" s="994" t="s">
        <v>44</v>
      </c>
      <c r="B23" s="995">
        <v>10</v>
      </c>
      <c r="C23" s="996">
        <v>498.5</v>
      </c>
      <c r="D23" s="995">
        <v>0</v>
      </c>
      <c r="E23" s="997">
        <v>0</v>
      </c>
      <c r="F23" s="995">
        <v>10</v>
      </c>
      <c r="G23" s="996">
        <v>498.5</v>
      </c>
      <c r="H23" s="998">
        <v>74775</v>
      </c>
      <c r="I23" s="999">
        <v>150</v>
      </c>
    </row>
    <row r="24" spans="1:9" ht="15.75" customHeight="1">
      <c r="A24" s="994" t="s">
        <v>45</v>
      </c>
      <c r="B24" s="995"/>
      <c r="C24" s="996">
        <v>0</v>
      </c>
      <c r="D24" s="995">
        <v>40</v>
      </c>
      <c r="E24" s="997">
        <v>1996.8</v>
      </c>
      <c r="F24" s="995">
        <v>40</v>
      </c>
      <c r="G24" s="996">
        <v>1996.8</v>
      </c>
      <c r="H24" s="998" t="s">
        <v>1864</v>
      </c>
      <c r="I24" s="999">
        <v>161.75</v>
      </c>
    </row>
    <row r="25" spans="1:9" ht="15.75" customHeight="1">
      <c r="A25" s="994" t="s">
        <v>183</v>
      </c>
      <c r="B25" s="995"/>
      <c r="C25" s="996">
        <v>0</v>
      </c>
      <c r="D25" s="995">
        <v>10</v>
      </c>
      <c r="E25" s="997">
        <v>499.2</v>
      </c>
      <c r="F25" s="995">
        <v>10</v>
      </c>
      <c r="G25" s="996">
        <v>499.2</v>
      </c>
      <c r="H25" s="998">
        <v>77376</v>
      </c>
      <c r="I25" s="999">
        <v>155</v>
      </c>
    </row>
    <row r="26" spans="1:9" ht="15.75" customHeight="1">
      <c r="A26" s="994" t="s">
        <v>183</v>
      </c>
      <c r="B26" s="995">
        <v>20</v>
      </c>
      <c r="C26" s="996">
        <v>997</v>
      </c>
      <c r="D26" s="995">
        <v>0</v>
      </c>
      <c r="E26" s="997">
        <v>0</v>
      </c>
      <c r="F26" s="995">
        <v>20</v>
      </c>
      <c r="G26" s="996">
        <v>997</v>
      </c>
      <c r="H26" s="998" t="s">
        <v>1865</v>
      </c>
      <c r="I26" s="999">
        <v>124</v>
      </c>
    </row>
    <row r="27" spans="1:9" ht="15.75" customHeight="1">
      <c r="A27" s="994" t="s">
        <v>55</v>
      </c>
      <c r="B27" s="995"/>
      <c r="C27" s="996">
        <v>0</v>
      </c>
      <c r="D27" s="995">
        <v>16</v>
      </c>
      <c r="E27" s="997">
        <v>798.7</v>
      </c>
      <c r="F27" s="995">
        <v>16</v>
      </c>
      <c r="G27" s="996">
        <v>798.7</v>
      </c>
      <c r="H27" s="998" t="s">
        <v>1866</v>
      </c>
      <c r="I27" s="999">
        <v>202.12</v>
      </c>
    </row>
    <row r="28" spans="1:9" ht="15.75" customHeight="1">
      <c r="A28" s="994" t="s">
        <v>400</v>
      </c>
      <c r="B28" s="995"/>
      <c r="C28" s="996">
        <v>0</v>
      </c>
      <c r="D28" s="995">
        <v>3</v>
      </c>
      <c r="E28" s="997">
        <v>149</v>
      </c>
      <c r="F28" s="995">
        <v>3</v>
      </c>
      <c r="G28" s="996">
        <v>149</v>
      </c>
      <c r="H28" s="998">
        <v>37548</v>
      </c>
      <c r="I28" s="999">
        <v>252</v>
      </c>
    </row>
    <row r="29" spans="1:9" ht="15.75" customHeight="1">
      <c r="A29" s="994" t="s">
        <v>403</v>
      </c>
      <c r="B29" s="995">
        <v>30</v>
      </c>
      <c r="C29" s="996">
        <v>1495.5</v>
      </c>
      <c r="D29" s="995">
        <v>0</v>
      </c>
      <c r="E29" s="997">
        <v>0</v>
      </c>
      <c r="F29" s="995">
        <v>30</v>
      </c>
      <c r="G29" s="996">
        <v>1495.5</v>
      </c>
      <c r="H29" s="998" t="s">
        <v>1867</v>
      </c>
      <c r="I29" s="999">
        <v>160.67</v>
      </c>
    </row>
    <row r="30" spans="1:9" ht="15.75" customHeight="1">
      <c r="A30" s="994" t="s">
        <v>46</v>
      </c>
      <c r="B30" s="995">
        <v>481</v>
      </c>
      <c r="C30" s="996">
        <v>23948</v>
      </c>
      <c r="D30" s="995">
        <v>76</v>
      </c>
      <c r="E30" s="997">
        <v>3783.3</v>
      </c>
      <c r="F30" s="995">
        <v>557</v>
      </c>
      <c r="G30" s="996">
        <v>27731.3</v>
      </c>
      <c r="H30" s="998" t="s">
        <v>1868</v>
      </c>
      <c r="I30" s="999">
        <v>161.15</v>
      </c>
    </row>
    <row r="31" spans="1:9" ht="15.75" customHeight="1">
      <c r="A31" s="994" t="s">
        <v>47</v>
      </c>
      <c r="B31" s="995"/>
      <c r="C31" s="996">
        <v>0</v>
      </c>
      <c r="D31" s="995">
        <v>45</v>
      </c>
      <c r="E31" s="997">
        <v>2244.8</v>
      </c>
      <c r="F31" s="995">
        <v>45</v>
      </c>
      <c r="G31" s="996">
        <v>2244.8</v>
      </c>
      <c r="H31" s="998" t="s">
        <v>1869</v>
      </c>
      <c r="I31" s="999">
        <v>152.56</v>
      </c>
    </row>
    <row r="32" spans="1:9" ht="15.75" customHeight="1">
      <c r="A32" s="994" t="s">
        <v>194</v>
      </c>
      <c r="B32" s="995"/>
      <c r="C32" s="996">
        <v>0</v>
      </c>
      <c r="D32" s="995">
        <v>18</v>
      </c>
      <c r="E32" s="997">
        <v>897.9</v>
      </c>
      <c r="F32" s="995">
        <v>18</v>
      </c>
      <c r="G32" s="996">
        <v>897.9</v>
      </c>
      <c r="H32" s="998" t="s">
        <v>1870</v>
      </c>
      <c r="I32" s="999">
        <v>175.74</v>
      </c>
    </row>
    <row r="33" spans="1:9" ht="15.75" customHeight="1">
      <c r="A33" s="994" t="s">
        <v>51</v>
      </c>
      <c r="B33" s="995">
        <v>195</v>
      </c>
      <c r="C33" s="996">
        <v>9717</v>
      </c>
      <c r="D33" s="995">
        <v>65</v>
      </c>
      <c r="E33" s="997">
        <v>3241</v>
      </c>
      <c r="F33" s="995">
        <v>260</v>
      </c>
      <c r="G33" s="996">
        <v>12958</v>
      </c>
      <c r="H33" s="998">
        <v>2020120.9</v>
      </c>
      <c r="I33" s="999">
        <v>155.89758450378145</v>
      </c>
    </row>
    <row r="34" spans="1:9" ht="15.75" customHeight="1">
      <c r="A34" s="994" t="s">
        <v>1624</v>
      </c>
      <c r="B34" s="995">
        <v>150</v>
      </c>
      <c r="C34" s="996">
        <v>7476</v>
      </c>
      <c r="D34" s="995">
        <v>0</v>
      </c>
      <c r="E34" s="997">
        <v>0</v>
      </c>
      <c r="F34" s="995">
        <v>150</v>
      </c>
      <c r="G34" s="996">
        <v>7476</v>
      </c>
      <c r="H34" s="998">
        <v>1084695.5</v>
      </c>
      <c r="I34" s="999">
        <v>145.09035580524343</v>
      </c>
    </row>
    <row r="35" spans="1:9" ht="15.75" customHeight="1">
      <c r="A35" s="994" t="s">
        <v>149</v>
      </c>
      <c r="B35" s="995">
        <v>10</v>
      </c>
      <c r="C35" s="996">
        <v>498.5</v>
      </c>
      <c r="D35" s="995">
        <v>0</v>
      </c>
      <c r="E35" s="997">
        <v>0</v>
      </c>
      <c r="F35" s="995">
        <v>10</v>
      </c>
      <c r="G35" s="996">
        <v>498.5</v>
      </c>
      <c r="H35" s="998" t="s">
        <v>1871</v>
      </c>
      <c r="I35" s="999">
        <v>316</v>
      </c>
    </row>
    <row r="36" spans="1:9" ht="15.75" customHeight="1">
      <c r="A36" s="994" t="s">
        <v>198</v>
      </c>
      <c r="B36" s="995">
        <v>110</v>
      </c>
      <c r="C36" s="996">
        <v>5477.5</v>
      </c>
      <c r="D36" s="995">
        <v>20</v>
      </c>
      <c r="E36" s="997">
        <v>998.4</v>
      </c>
      <c r="F36" s="995">
        <v>130</v>
      </c>
      <c r="G36" s="996">
        <v>6475.9</v>
      </c>
      <c r="H36" s="998" t="s">
        <v>1872</v>
      </c>
      <c r="I36" s="999">
        <v>159.85</v>
      </c>
    </row>
    <row r="37" spans="1:9" ht="15.75" customHeight="1">
      <c r="A37" s="994" t="s">
        <v>707</v>
      </c>
      <c r="B37" s="995">
        <v>30</v>
      </c>
      <c r="C37" s="996">
        <v>1495.5</v>
      </c>
      <c r="D37" s="995">
        <v>0</v>
      </c>
      <c r="E37" s="997">
        <v>0</v>
      </c>
      <c r="F37" s="995">
        <v>30</v>
      </c>
      <c r="G37" s="996">
        <v>1495.5</v>
      </c>
      <c r="H37" s="998" t="s">
        <v>1873</v>
      </c>
      <c r="I37" s="999">
        <v>130.33</v>
      </c>
    </row>
    <row r="38" spans="1:9" ht="15.75" customHeight="1">
      <c r="A38" s="994" t="s">
        <v>374</v>
      </c>
      <c r="B38" s="995">
        <v>195</v>
      </c>
      <c r="C38" s="996">
        <v>9715.5</v>
      </c>
      <c r="D38" s="995">
        <v>0</v>
      </c>
      <c r="E38" s="997">
        <v>0</v>
      </c>
      <c r="F38" s="995">
        <v>195</v>
      </c>
      <c r="G38" s="996">
        <v>9715.5</v>
      </c>
      <c r="H38" s="998">
        <v>1564310.5</v>
      </c>
      <c r="I38" s="999">
        <v>161.01183675569965</v>
      </c>
    </row>
    <row r="39" spans="1:9" ht="15.75" customHeight="1">
      <c r="A39" s="994" t="s">
        <v>53</v>
      </c>
      <c r="B39" s="995">
        <v>40</v>
      </c>
      <c r="C39" s="996">
        <v>1995.5</v>
      </c>
      <c r="D39" s="995">
        <v>10</v>
      </c>
      <c r="E39" s="997">
        <v>499.2</v>
      </c>
      <c r="F39" s="995">
        <v>50</v>
      </c>
      <c r="G39" s="996">
        <v>2494.7</v>
      </c>
      <c r="H39" s="998">
        <v>367696.6</v>
      </c>
      <c r="I39" s="999">
        <v>147.39110915140097</v>
      </c>
    </row>
    <row r="40" spans="1:9" ht="15.75" customHeight="1">
      <c r="A40" s="994" t="s">
        <v>201</v>
      </c>
      <c r="B40" s="995">
        <v>20</v>
      </c>
      <c r="C40" s="996">
        <v>997</v>
      </c>
      <c r="D40" s="995">
        <v>0</v>
      </c>
      <c r="E40" s="997">
        <v>0</v>
      </c>
      <c r="F40" s="995">
        <v>20</v>
      </c>
      <c r="G40" s="996">
        <v>997</v>
      </c>
      <c r="H40" s="998" t="s">
        <v>1874</v>
      </c>
      <c r="I40" s="999">
        <v>158.5</v>
      </c>
    </row>
    <row r="41" spans="1:9" ht="15.75" customHeight="1">
      <c r="A41" s="994" t="s">
        <v>54</v>
      </c>
      <c r="B41" s="995">
        <v>92</v>
      </c>
      <c r="C41" s="996">
        <v>4509.5</v>
      </c>
      <c r="D41" s="995">
        <v>20</v>
      </c>
      <c r="E41" s="997">
        <v>998.4</v>
      </c>
      <c r="F41" s="995">
        <v>112</v>
      </c>
      <c r="G41" s="996">
        <v>5507.9</v>
      </c>
      <c r="H41" s="998">
        <v>837523.3</v>
      </c>
      <c r="I41" s="999">
        <v>152.05855226129742</v>
      </c>
    </row>
    <row r="42" spans="1:9" ht="15.75" customHeight="1">
      <c r="A42" s="994" t="s">
        <v>1309</v>
      </c>
      <c r="B42" s="995">
        <v>50</v>
      </c>
      <c r="C42" s="996">
        <v>2492.5</v>
      </c>
      <c r="D42" s="995">
        <v>0</v>
      </c>
      <c r="E42" s="997">
        <v>0</v>
      </c>
      <c r="F42" s="995">
        <v>50</v>
      </c>
      <c r="G42" s="996">
        <v>2492.5</v>
      </c>
      <c r="H42" s="998" t="s">
        <v>1875</v>
      </c>
      <c r="I42" s="999">
        <v>166.4</v>
      </c>
    </row>
    <row r="43" spans="1:9" ht="15.75" customHeight="1">
      <c r="A43" s="994" t="s">
        <v>71</v>
      </c>
      <c r="B43" s="995">
        <v>66</v>
      </c>
      <c r="C43" s="996">
        <v>3289.5</v>
      </c>
      <c r="D43" s="995">
        <v>0</v>
      </c>
      <c r="E43" s="997">
        <v>0</v>
      </c>
      <c r="F43" s="995">
        <v>66</v>
      </c>
      <c r="G43" s="996">
        <v>3289.5</v>
      </c>
      <c r="H43" s="998" t="s">
        <v>1876</v>
      </c>
      <c r="I43" s="999">
        <v>168.71</v>
      </c>
    </row>
    <row r="44" spans="1:9" ht="15.75" customHeight="1">
      <c r="A44" s="994" t="s">
        <v>243</v>
      </c>
      <c r="B44" s="995">
        <v>30</v>
      </c>
      <c r="C44" s="996">
        <v>1494</v>
      </c>
      <c r="D44" s="995">
        <v>0</v>
      </c>
      <c r="E44" s="997">
        <v>0</v>
      </c>
      <c r="F44" s="995">
        <v>30</v>
      </c>
      <c r="G44" s="996">
        <v>1494</v>
      </c>
      <c r="H44" s="998" t="s">
        <v>1877</v>
      </c>
      <c r="I44" s="999">
        <v>217.07</v>
      </c>
    </row>
    <row r="45" spans="1:9" ht="15.75" customHeight="1">
      <c r="A45" s="994" t="s">
        <v>874</v>
      </c>
      <c r="B45" s="995"/>
      <c r="C45" s="996">
        <v>0</v>
      </c>
      <c r="D45" s="995">
        <v>130</v>
      </c>
      <c r="E45" s="997">
        <v>6486.4</v>
      </c>
      <c r="F45" s="995">
        <v>130</v>
      </c>
      <c r="G45" s="996">
        <v>6486.4</v>
      </c>
      <c r="H45" s="998" t="s">
        <v>1878</v>
      </c>
      <c r="I45" s="999">
        <v>135.23</v>
      </c>
    </row>
    <row r="46" spans="1:9" ht="15.75" customHeight="1">
      <c r="A46" s="994" t="s">
        <v>379</v>
      </c>
      <c r="B46" s="995">
        <v>130</v>
      </c>
      <c r="C46" s="996">
        <v>6480.5</v>
      </c>
      <c r="D46" s="995">
        <v>0</v>
      </c>
      <c r="E46" s="997">
        <v>0</v>
      </c>
      <c r="F46" s="995">
        <v>130</v>
      </c>
      <c r="G46" s="996">
        <v>6480.5</v>
      </c>
      <c r="H46" s="998" t="s">
        <v>1879</v>
      </c>
      <c r="I46" s="999">
        <v>207.32</v>
      </c>
    </row>
    <row r="47" spans="1:9" ht="15.75" customHeight="1">
      <c r="A47" s="994" t="s">
        <v>1880</v>
      </c>
      <c r="B47" s="995">
        <v>40</v>
      </c>
      <c r="C47" s="996">
        <v>1994</v>
      </c>
      <c r="D47" s="995">
        <v>0</v>
      </c>
      <c r="E47" s="997">
        <v>0</v>
      </c>
      <c r="F47" s="995">
        <v>40</v>
      </c>
      <c r="G47" s="996">
        <v>1994</v>
      </c>
      <c r="H47" s="998" t="s">
        <v>1881</v>
      </c>
      <c r="I47" s="999">
        <v>269.74</v>
      </c>
    </row>
    <row r="48" spans="1:9" ht="15.75" customHeight="1">
      <c r="A48" s="994" t="s">
        <v>57</v>
      </c>
      <c r="B48" s="995">
        <v>20</v>
      </c>
      <c r="C48" s="996">
        <v>994</v>
      </c>
      <c r="D48" s="995">
        <v>0</v>
      </c>
      <c r="E48" s="997">
        <v>0</v>
      </c>
      <c r="F48" s="995">
        <v>20</v>
      </c>
      <c r="G48" s="996">
        <v>994</v>
      </c>
      <c r="H48" s="998" t="s">
        <v>1882</v>
      </c>
      <c r="I48" s="999">
        <v>131.5</v>
      </c>
    </row>
    <row r="49" spans="1:9" ht="15.75" customHeight="1">
      <c r="A49" s="994" t="s">
        <v>19</v>
      </c>
      <c r="B49" s="995">
        <v>3421</v>
      </c>
      <c r="C49" s="996" t="s">
        <v>1883</v>
      </c>
      <c r="D49" s="995">
        <v>642</v>
      </c>
      <c r="E49" s="997">
        <v>32021</v>
      </c>
      <c r="F49" s="995">
        <v>4063</v>
      </c>
      <c r="G49" s="996" t="s">
        <v>1884</v>
      </c>
      <c r="H49" s="998" t="s">
        <v>1885</v>
      </c>
      <c r="I49" s="999">
        <v>173.57</v>
      </c>
    </row>
    <row r="50" spans="1:9" ht="15.75" customHeight="1">
      <c r="A50" s="975"/>
      <c r="B50" s="1000"/>
      <c r="C50" s="1001"/>
      <c r="D50" s="1000"/>
      <c r="E50" s="1002"/>
      <c r="F50" s="1000"/>
      <c r="G50" s="1001"/>
      <c r="H50" s="1003"/>
      <c r="I50" s="1004"/>
    </row>
    <row r="51" spans="1:9" ht="15.75" customHeight="1">
      <c r="A51" s="975" t="s">
        <v>62</v>
      </c>
      <c r="B51" s="1005"/>
      <c r="C51" s="1006"/>
      <c r="D51" s="1005"/>
      <c r="E51" s="1007"/>
      <c r="F51" s="1005"/>
      <c r="G51" s="1006"/>
      <c r="H51" s="1008"/>
      <c r="I51" s="1009"/>
    </row>
    <row r="52" spans="1:9" ht="15.75" customHeight="1">
      <c r="A52" s="975" t="s">
        <v>63</v>
      </c>
      <c r="B52" s="1005"/>
      <c r="C52" s="1006"/>
      <c r="D52" s="1005"/>
      <c r="E52" s="1007"/>
      <c r="F52" s="1005"/>
      <c r="G52" s="1006" t="s">
        <v>64</v>
      </c>
      <c r="H52" s="1010"/>
      <c r="I52" s="1011"/>
    </row>
    <row r="53" spans="1:9" ht="15.75" customHeight="1">
      <c r="A53" s="975" t="s">
        <v>157</v>
      </c>
      <c r="B53" s="1005"/>
      <c r="C53" s="1006"/>
      <c r="D53" s="1005"/>
      <c r="E53" s="1007"/>
      <c r="F53" s="1005"/>
      <c r="G53" s="1006"/>
      <c r="H53" s="1010" t="s">
        <v>66</v>
      </c>
      <c r="I53" s="1012"/>
    </row>
    <row r="54" spans="1:9" ht="15.75" customHeight="1">
      <c r="A54" s="975" t="s">
        <v>158</v>
      </c>
      <c r="B54" s="1005"/>
      <c r="C54" s="1006"/>
      <c r="D54" s="1005"/>
      <c r="E54" s="1007"/>
      <c r="F54" s="1005"/>
      <c r="G54" s="1006"/>
      <c r="H54" s="1010"/>
      <c r="I54" s="1012"/>
    </row>
    <row r="55" spans="1:9" ht="15.75" customHeight="1">
      <c r="A55" s="975" t="s">
        <v>159</v>
      </c>
      <c r="B55" s="1005"/>
      <c r="C55" s="1006"/>
      <c r="D55" s="1005"/>
      <c r="E55" s="1007"/>
      <c r="F55" s="1005"/>
      <c r="G55" s="1006"/>
      <c r="H55" s="1010"/>
      <c r="I55" s="1012"/>
    </row>
    <row r="56" spans="2:9" ht="15.75" customHeight="1">
      <c r="B56" s="762"/>
      <c r="C56" s="844"/>
      <c r="D56" s="838"/>
      <c r="E56" s="837"/>
      <c r="F56" s="838"/>
      <c r="G56" s="844"/>
      <c r="H56" s="969"/>
      <c r="I56" s="839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  <row r="68" spans="3:9" ht="15.75" customHeight="1">
      <c r="C68" s="405"/>
      <c r="D68" s="388"/>
      <c r="E68" s="399"/>
      <c r="F68" s="388"/>
      <c r="G68" s="405"/>
      <c r="H68" s="970"/>
      <c r="I68" s="391"/>
    </row>
    <row r="69" spans="3:9" ht="15.75" customHeight="1">
      <c r="C69" s="405"/>
      <c r="D69" s="388"/>
      <c r="E69" s="399"/>
      <c r="F69" s="388"/>
      <c r="G69" s="405"/>
      <c r="H69" s="970"/>
      <c r="I69" s="391"/>
    </row>
    <row r="70" spans="3:9" ht="15.75" customHeight="1">
      <c r="C70" s="405"/>
      <c r="D70" s="388"/>
      <c r="E70" s="399"/>
      <c r="F70" s="388"/>
      <c r="G70" s="405"/>
      <c r="H70" s="970"/>
      <c r="I70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66" t="s">
        <v>1848</v>
      </c>
      <c r="B1" s="517"/>
      <c r="C1" s="518"/>
      <c r="D1" s="517"/>
      <c r="E1" s="518"/>
      <c r="F1" s="517"/>
      <c r="G1" s="520"/>
      <c r="H1" s="521"/>
      <c r="I1" s="522"/>
    </row>
    <row r="2" spans="1:9" ht="15.75" customHeight="1">
      <c r="A2" s="966" t="s">
        <v>1809</v>
      </c>
      <c r="B2" s="517"/>
      <c r="C2" s="518"/>
      <c r="D2" s="517"/>
      <c r="E2" s="518"/>
      <c r="F2" s="517"/>
      <c r="G2" s="520"/>
      <c r="H2" s="521"/>
      <c r="I2" s="522"/>
    </row>
    <row r="3" spans="1:9" ht="15.75" customHeight="1">
      <c r="A3" s="96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.75" customHeight="1">
      <c r="A4" s="96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.75" customHeight="1">
      <c r="A5" s="966" t="s">
        <v>9</v>
      </c>
      <c r="B5" s="517"/>
      <c r="C5" s="518"/>
      <c r="D5" s="517"/>
      <c r="E5" s="854"/>
      <c r="F5" s="517"/>
      <c r="G5" s="520"/>
      <c r="H5" s="521"/>
      <c r="I5" s="522"/>
    </row>
    <row r="6" spans="1:9" ht="15.75" customHeight="1">
      <c r="A6" s="96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.75" customHeight="1">
      <c r="A7" s="966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.75" customHeight="1">
      <c r="A8" s="966" t="s">
        <v>1849</v>
      </c>
      <c r="B8" s="527"/>
      <c r="C8" s="528"/>
      <c r="D8" s="527"/>
      <c r="E8" s="528"/>
      <c r="F8" s="527"/>
      <c r="G8" s="530"/>
      <c r="H8" s="531"/>
      <c r="I8" s="532"/>
    </row>
    <row r="9" spans="1:9" ht="15.75" customHeight="1">
      <c r="A9" s="966"/>
      <c r="B9" s="527"/>
      <c r="C9" s="528" t="s">
        <v>1850</v>
      </c>
      <c r="D9" s="527"/>
      <c r="E9" s="528"/>
      <c r="F9" s="527"/>
      <c r="G9" s="530"/>
      <c r="H9" s="531"/>
      <c r="I9" s="532"/>
    </row>
    <row r="10" spans="1:9" ht="15.75" customHeight="1">
      <c r="A10" s="967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/>
      <c r="I10" s="532"/>
    </row>
    <row r="11" spans="1:9" ht="15.75" customHeight="1">
      <c r="A11" s="967" t="s">
        <v>89</v>
      </c>
      <c r="B11" s="542" t="s">
        <v>6</v>
      </c>
      <c r="C11" s="543" t="s">
        <v>87</v>
      </c>
      <c r="D11" s="822" t="s">
        <v>6</v>
      </c>
      <c r="E11" s="545" t="s">
        <v>87</v>
      </c>
      <c r="F11" s="822" t="s">
        <v>6</v>
      </c>
      <c r="G11" s="543" t="s">
        <v>87</v>
      </c>
      <c r="H11" s="540" t="s">
        <v>35</v>
      </c>
      <c r="I11" s="532" t="s">
        <v>85</v>
      </c>
    </row>
    <row r="12" spans="1:9" ht="15.75" customHeight="1">
      <c r="A12" s="534" t="s">
        <v>36</v>
      </c>
      <c r="B12" s="546">
        <v>51</v>
      </c>
      <c r="C12" s="547">
        <v>2542.5</v>
      </c>
      <c r="D12" s="546">
        <v>0</v>
      </c>
      <c r="E12" s="973">
        <v>0</v>
      </c>
      <c r="F12" s="546">
        <v>51</v>
      </c>
      <c r="G12" s="548">
        <v>2542.5</v>
      </c>
      <c r="H12" s="549" t="s">
        <v>1851</v>
      </c>
      <c r="I12" s="550">
        <v>191.18</v>
      </c>
    </row>
    <row r="13" spans="1:9" ht="15.75" customHeight="1">
      <c r="A13" s="534" t="s">
        <v>40</v>
      </c>
      <c r="B13" s="546">
        <v>20</v>
      </c>
      <c r="C13" s="547">
        <v>997</v>
      </c>
      <c r="D13" s="546">
        <v>0</v>
      </c>
      <c r="E13" s="973">
        <v>0</v>
      </c>
      <c r="F13" s="546">
        <v>20</v>
      </c>
      <c r="G13" s="548">
        <v>997</v>
      </c>
      <c r="H13" s="549" t="s">
        <v>351</v>
      </c>
      <c r="I13" s="550">
        <v>210</v>
      </c>
    </row>
    <row r="14" spans="1:9" ht="15.75" customHeight="1">
      <c r="A14" s="534" t="s">
        <v>41</v>
      </c>
      <c r="B14" s="546">
        <v>20</v>
      </c>
      <c r="C14" s="547">
        <v>997</v>
      </c>
      <c r="D14" s="546">
        <v>0</v>
      </c>
      <c r="E14" s="973">
        <v>0</v>
      </c>
      <c r="F14" s="546">
        <v>20</v>
      </c>
      <c r="G14" s="548">
        <v>997</v>
      </c>
      <c r="H14" s="549" t="s">
        <v>1852</v>
      </c>
      <c r="I14" s="550">
        <v>278.5</v>
      </c>
    </row>
    <row r="15" spans="1:9" ht="15.75" customHeight="1">
      <c r="A15" s="534" t="s">
        <v>43</v>
      </c>
      <c r="B15" s="546">
        <v>30</v>
      </c>
      <c r="C15" s="547">
        <v>1495.5</v>
      </c>
      <c r="D15" s="546">
        <v>0</v>
      </c>
      <c r="E15" s="973">
        <v>0</v>
      </c>
      <c r="F15" s="546">
        <v>30</v>
      </c>
      <c r="G15" s="548">
        <v>1495.5</v>
      </c>
      <c r="H15" s="549" t="s">
        <v>681</v>
      </c>
      <c r="I15" s="550">
        <v>155.33</v>
      </c>
    </row>
    <row r="16" spans="1:9" ht="15.75" customHeight="1">
      <c r="A16" s="534" t="s">
        <v>19</v>
      </c>
      <c r="B16" s="546">
        <v>121</v>
      </c>
      <c r="C16" s="547">
        <v>6032</v>
      </c>
      <c r="D16" s="546">
        <v>0</v>
      </c>
      <c r="E16" s="973">
        <v>0</v>
      </c>
      <c r="F16" s="546">
        <v>121</v>
      </c>
      <c r="G16" s="548">
        <v>6032</v>
      </c>
      <c r="H16" s="549" t="s">
        <v>1853</v>
      </c>
      <c r="I16" s="550">
        <v>199.84</v>
      </c>
    </row>
    <row r="17" spans="1:9" ht="15.75" customHeight="1">
      <c r="A17" s="966"/>
      <c r="B17" s="958"/>
      <c r="C17" s="959"/>
      <c r="D17" s="960"/>
      <c r="E17" s="961"/>
      <c r="F17" s="962"/>
      <c r="G17" s="961"/>
      <c r="H17" s="564"/>
      <c r="I17" s="963"/>
    </row>
    <row r="18" spans="1:9" ht="15.75" customHeight="1">
      <c r="A18" s="966"/>
      <c r="B18" s="831"/>
      <c r="C18" s="832"/>
      <c r="D18" s="831"/>
      <c r="E18" s="833"/>
      <c r="F18" s="831"/>
      <c r="G18" s="832"/>
      <c r="H18" s="968"/>
      <c r="I18" s="835"/>
    </row>
    <row r="19" spans="1:9" ht="15.75" customHeight="1">
      <c r="A19" s="966" t="s">
        <v>62</v>
      </c>
      <c r="B19" s="838"/>
      <c r="C19" s="837"/>
      <c r="D19" s="838"/>
      <c r="E19" s="837"/>
      <c r="F19" s="838"/>
      <c r="G19" s="837"/>
      <c r="H19" s="969"/>
      <c r="I19" s="839"/>
    </row>
    <row r="20" spans="1:9" ht="15.75" customHeight="1">
      <c r="A20" s="966" t="s">
        <v>63</v>
      </c>
      <c r="B20" s="838"/>
      <c r="C20" s="837"/>
      <c r="D20" s="838"/>
      <c r="E20" s="837"/>
      <c r="F20" s="838"/>
      <c r="G20" s="840" t="s">
        <v>64</v>
      </c>
      <c r="H20" s="841"/>
      <c r="I20" s="842"/>
    </row>
    <row r="21" spans="1:9" ht="15.75" customHeight="1">
      <c r="A21" s="966" t="s">
        <v>157</v>
      </c>
      <c r="B21" s="838"/>
      <c r="C21" s="837"/>
      <c r="D21" s="838"/>
      <c r="E21" s="837"/>
      <c r="F21" s="838"/>
      <c r="G21" s="837"/>
      <c r="H21" s="841" t="s">
        <v>66</v>
      </c>
      <c r="I21" s="843"/>
    </row>
    <row r="22" spans="1:9" ht="15.75" customHeight="1">
      <c r="A22" s="966" t="s">
        <v>158</v>
      </c>
      <c r="B22" s="838"/>
      <c r="C22" s="837"/>
      <c r="D22" s="838"/>
      <c r="E22" s="837"/>
      <c r="F22" s="838"/>
      <c r="G22" s="844"/>
      <c r="H22" s="841"/>
      <c r="I22" s="843"/>
    </row>
    <row r="23" spans="1:9" ht="15.75" customHeight="1">
      <c r="A23" s="966" t="s">
        <v>159</v>
      </c>
      <c r="B23" s="838"/>
      <c r="C23" s="837"/>
      <c r="D23" s="838"/>
      <c r="E23" s="837"/>
      <c r="F23" s="838"/>
      <c r="G23" s="844"/>
      <c r="H23" s="841"/>
      <c r="I23" s="843"/>
    </row>
    <row r="24" spans="2:9" ht="15.75" customHeight="1">
      <c r="B24" s="762"/>
      <c r="C24" s="837"/>
      <c r="D24" s="838"/>
      <c r="E24" s="837"/>
      <c r="F24" s="838"/>
      <c r="G24" s="837"/>
      <c r="H24" s="969"/>
      <c r="I24" s="839"/>
    </row>
    <row r="25" spans="3:9" ht="15.75" customHeight="1">
      <c r="C25" s="399"/>
      <c r="D25" s="388"/>
      <c r="E25" s="399"/>
      <c r="F25" s="388"/>
      <c r="G25" s="399"/>
      <c r="H25" s="970"/>
      <c r="I25" s="391"/>
    </row>
    <row r="26" spans="3:9" ht="15.75" customHeight="1">
      <c r="C26" s="399"/>
      <c r="D26" s="388"/>
      <c r="E26" s="399"/>
      <c r="F26" s="388"/>
      <c r="G26" s="399"/>
      <c r="H26" s="970"/>
      <c r="I26" s="391"/>
    </row>
    <row r="27" spans="3:9" ht="15.75" customHeight="1">
      <c r="C27" s="399"/>
      <c r="D27" s="388"/>
      <c r="E27" s="399"/>
      <c r="F27" s="388"/>
      <c r="G27" s="399"/>
      <c r="H27" s="970"/>
      <c r="I27" s="391"/>
    </row>
    <row r="28" spans="3:9" ht="15.75" customHeight="1">
      <c r="C28" s="399"/>
      <c r="D28" s="388"/>
      <c r="E28" s="399"/>
      <c r="F28" s="388"/>
      <c r="G28" s="399"/>
      <c r="H28" s="970"/>
      <c r="I28" s="391"/>
    </row>
    <row r="29" spans="3:9" ht="15.75" customHeight="1">
      <c r="C29" s="399"/>
      <c r="D29" s="388"/>
      <c r="E29" s="399"/>
      <c r="F29" s="388"/>
      <c r="G29" s="399"/>
      <c r="H29" s="970"/>
      <c r="I29" s="391"/>
    </row>
    <row r="30" spans="3:9" ht="15.75" customHeight="1">
      <c r="C30" s="399"/>
      <c r="D30" s="388"/>
      <c r="E30" s="399"/>
      <c r="F30" s="388"/>
      <c r="G30" s="399"/>
      <c r="H30" s="970"/>
      <c r="I30" s="391"/>
    </row>
    <row r="31" spans="3:9" ht="15.75" customHeight="1">
      <c r="C31" s="399"/>
      <c r="D31" s="388"/>
      <c r="E31" s="399"/>
      <c r="F31" s="388"/>
      <c r="G31" s="399"/>
      <c r="H31" s="970"/>
      <c r="I31" s="391"/>
    </row>
    <row r="32" spans="3:9" ht="15.75" customHeight="1">
      <c r="C32" s="399"/>
      <c r="D32" s="388"/>
      <c r="E32" s="399"/>
      <c r="F32" s="388"/>
      <c r="G32" s="399"/>
      <c r="H32" s="970"/>
      <c r="I32" s="391"/>
    </row>
    <row r="33" spans="3:9" ht="15.75" customHeight="1">
      <c r="C33" s="399"/>
      <c r="D33" s="388"/>
      <c r="E33" s="399"/>
      <c r="F33" s="388"/>
      <c r="G33" s="399"/>
      <c r="H33" s="970"/>
      <c r="I33" s="391"/>
    </row>
    <row r="34" spans="3:9" ht="15.75" customHeight="1">
      <c r="C34" s="399"/>
      <c r="D34" s="388"/>
      <c r="E34" s="399"/>
      <c r="F34" s="388"/>
      <c r="G34" s="399"/>
      <c r="H34" s="970"/>
      <c r="I34" s="391"/>
    </row>
    <row r="35" spans="3:9" ht="15.75" customHeight="1">
      <c r="C35" s="399"/>
      <c r="D35" s="388"/>
      <c r="E35" s="399"/>
      <c r="F35" s="388"/>
      <c r="G35" s="399"/>
      <c r="H35" s="970"/>
      <c r="I35" s="391"/>
    </row>
    <row r="36" spans="3:9" ht="15.75" customHeight="1">
      <c r="C36" s="399"/>
      <c r="D36" s="388"/>
      <c r="E36" s="399"/>
      <c r="F36" s="388"/>
      <c r="G36" s="399"/>
      <c r="H36" s="970"/>
      <c r="I36" s="391"/>
    </row>
    <row r="37" spans="3:9" ht="15.75" customHeight="1">
      <c r="C37" s="399"/>
      <c r="D37" s="388"/>
      <c r="E37" s="399"/>
      <c r="F37" s="388"/>
      <c r="G37" s="399"/>
      <c r="H37" s="970"/>
      <c r="I37" s="391"/>
    </row>
    <row r="38" spans="3:9" ht="15.75" customHeight="1">
      <c r="C38" s="399"/>
      <c r="D38" s="388"/>
      <c r="E38" s="399"/>
      <c r="F38" s="388"/>
      <c r="G38" s="399"/>
      <c r="H38" s="970"/>
      <c r="I3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1">
      <selection activeCell="A7" sqref="A7"/>
    </sheetView>
  </sheetViews>
  <sheetFormatPr defaultColWidth="9.140625" defaultRowHeight="1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2" customHeight="1">
      <c r="A1" s="855"/>
      <c r="B1" s="855"/>
      <c r="C1" s="856" t="s">
        <v>3</v>
      </c>
      <c r="D1" s="857"/>
      <c r="E1" s="858"/>
      <c r="F1" s="857"/>
      <c r="G1" s="855"/>
      <c r="H1" s="855"/>
      <c r="I1" s="850"/>
    </row>
    <row r="2" spans="1:9" ht="12" customHeight="1">
      <c r="A2" s="855"/>
      <c r="B2" s="855"/>
      <c r="C2" s="856" t="s">
        <v>4</v>
      </c>
      <c r="D2" s="859"/>
      <c r="E2" s="856"/>
      <c r="F2" s="857"/>
      <c r="G2" s="855"/>
      <c r="H2" s="855"/>
      <c r="I2" s="850"/>
    </row>
    <row r="3" spans="1:9" ht="12" customHeight="1">
      <c r="A3" s="855"/>
      <c r="B3" s="855"/>
      <c r="C3" s="856" t="s">
        <v>1652</v>
      </c>
      <c r="D3" s="859"/>
      <c r="E3" s="856"/>
      <c r="F3" s="857"/>
      <c r="G3" s="855"/>
      <c r="H3" s="855"/>
      <c r="I3" s="850"/>
    </row>
    <row r="4" spans="1:9" ht="12" customHeight="1">
      <c r="A4" s="860"/>
      <c r="B4" s="855"/>
      <c r="C4" s="856" t="s">
        <v>1145</v>
      </c>
      <c r="D4" s="859"/>
      <c r="E4" s="856"/>
      <c r="F4" s="857"/>
      <c r="G4" s="860"/>
      <c r="H4" s="855"/>
      <c r="I4" s="850"/>
    </row>
    <row r="5" spans="1:9" ht="12" customHeight="1">
      <c r="A5" s="855"/>
      <c r="B5" s="860"/>
      <c r="C5" s="861"/>
      <c r="D5" s="862"/>
      <c r="E5" s="858" t="s">
        <v>1814</v>
      </c>
      <c r="F5" s="857"/>
      <c r="G5" s="860"/>
      <c r="H5" s="855"/>
      <c r="I5" s="850"/>
    </row>
    <row r="6" spans="1:9" ht="12" customHeight="1">
      <c r="A6" s="863"/>
      <c r="B6" s="860"/>
      <c r="C6" s="861"/>
      <c r="D6" s="862"/>
      <c r="E6" s="861"/>
      <c r="F6" s="862"/>
      <c r="G6" s="860"/>
      <c r="H6" s="855"/>
      <c r="I6" s="850"/>
    </row>
    <row r="7" spans="1:9" ht="12.75" customHeight="1">
      <c r="A7" s="864" t="s">
        <v>1113</v>
      </c>
      <c r="B7" s="855"/>
      <c r="C7" s="865"/>
      <c r="D7" s="857"/>
      <c r="E7" s="866"/>
      <c r="F7" s="857"/>
      <c r="G7" s="855"/>
      <c r="H7" s="855"/>
      <c r="I7" s="850"/>
    </row>
    <row r="8" spans="1:9" ht="12.75" customHeight="1">
      <c r="A8" s="867"/>
      <c r="B8" s="855"/>
      <c r="C8" s="865"/>
      <c r="D8" s="868"/>
      <c r="E8" s="865"/>
      <c r="F8" s="868"/>
      <c r="G8" s="855"/>
      <c r="H8" s="855"/>
      <c r="I8" s="850"/>
    </row>
    <row r="9" spans="1:9" ht="12.75" customHeight="1">
      <c r="A9" s="867" t="s">
        <v>625</v>
      </c>
      <c r="B9" s="855"/>
      <c r="C9" s="869" t="s">
        <v>1815</v>
      </c>
      <c r="D9" s="857"/>
      <c r="E9" s="869" t="s">
        <v>1816</v>
      </c>
      <c r="F9" s="870"/>
      <c r="G9" s="871"/>
      <c r="H9" s="871"/>
      <c r="I9" s="850"/>
    </row>
    <row r="10" spans="1:9" ht="12.75" customHeight="1">
      <c r="A10" s="867" t="s">
        <v>626</v>
      </c>
      <c r="B10" s="867"/>
      <c r="C10" s="866" t="s">
        <v>0</v>
      </c>
      <c r="D10" s="872" t="s">
        <v>1</v>
      </c>
      <c r="E10" s="866" t="s">
        <v>0</v>
      </c>
      <c r="F10" s="872" t="s">
        <v>1</v>
      </c>
      <c r="G10" s="855"/>
      <c r="H10" s="855"/>
      <c r="I10" s="850"/>
    </row>
    <row r="11" spans="1:9" ht="12.75" customHeight="1">
      <c r="A11" s="855" t="s">
        <v>879</v>
      </c>
      <c r="B11" s="855"/>
      <c r="C11" s="858">
        <v>0</v>
      </c>
      <c r="D11" s="857">
        <v>0</v>
      </c>
      <c r="E11" s="858">
        <v>10714.6</v>
      </c>
      <c r="F11" s="857">
        <v>131.16914303847085</v>
      </c>
      <c r="G11" s="855"/>
      <c r="H11" s="855"/>
      <c r="I11" s="850"/>
    </row>
    <row r="12" spans="1:9" ht="12.75" customHeight="1">
      <c r="A12" s="855" t="s">
        <v>627</v>
      </c>
      <c r="B12" s="855"/>
      <c r="C12" s="858">
        <v>2989.5</v>
      </c>
      <c r="D12" s="857">
        <v>124.67502926910855</v>
      </c>
      <c r="E12" s="858">
        <v>196047.7</v>
      </c>
      <c r="F12" s="857">
        <v>144.9952598270727</v>
      </c>
      <c r="G12" s="855"/>
      <c r="H12" s="855"/>
      <c r="I12" s="850"/>
    </row>
    <row r="13" spans="1:9" ht="12.75" customHeight="1">
      <c r="A13" s="855" t="s">
        <v>629</v>
      </c>
      <c r="B13" s="855"/>
      <c r="C13" s="858">
        <v>0</v>
      </c>
      <c r="D13" s="857">
        <v>0</v>
      </c>
      <c r="E13" s="858">
        <v>17021</v>
      </c>
      <c r="F13" s="857">
        <v>179.31449386052523</v>
      </c>
      <c r="G13" s="855"/>
      <c r="H13" s="855"/>
      <c r="I13" s="850"/>
    </row>
    <row r="14" spans="1:9" ht="12.75" customHeight="1">
      <c r="A14" s="855" t="s">
        <v>630</v>
      </c>
      <c r="B14" s="855"/>
      <c r="C14" s="858">
        <v>0</v>
      </c>
      <c r="D14" s="857">
        <v>0</v>
      </c>
      <c r="E14" s="858">
        <v>674.5</v>
      </c>
      <c r="F14" s="857">
        <v>181.3721275018532</v>
      </c>
      <c r="G14" s="855"/>
      <c r="H14" s="855"/>
      <c r="I14" s="850"/>
    </row>
    <row r="15" spans="1:9" ht="12.75" customHeight="1">
      <c r="A15" s="855" t="s">
        <v>628</v>
      </c>
      <c r="B15" s="855"/>
      <c r="C15" s="858">
        <v>8460.6</v>
      </c>
      <c r="D15" s="857">
        <v>156.40792615180953</v>
      </c>
      <c r="E15" s="858">
        <v>140095.4</v>
      </c>
      <c r="F15" s="857">
        <v>198.87659123711413</v>
      </c>
      <c r="G15" s="855"/>
      <c r="H15" s="855"/>
      <c r="I15" s="850"/>
    </row>
    <row r="16" spans="1:9" ht="12.75" customHeight="1">
      <c r="A16" s="855" t="s">
        <v>855</v>
      </c>
      <c r="B16" s="855"/>
      <c r="C16" s="858">
        <v>0</v>
      </c>
      <c r="D16" s="857">
        <v>0</v>
      </c>
      <c r="E16" s="858">
        <v>23927</v>
      </c>
      <c r="F16" s="857">
        <v>211.30114514983075</v>
      </c>
      <c r="G16" s="855"/>
      <c r="H16" s="855"/>
      <c r="I16" s="850"/>
    </row>
    <row r="17" spans="1:9" ht="12.75" customHeight="1">
      <c r="A17" s="855" t="s">
        <v>631</v>
      </c>
      <c r="B17" s="855"/>
      <c r="C17" s="858">
        <v>0</v>
      </c>
      <c r="D17" s="857">
        <v>0</v>
      </c>
      <c r="E17" s="858">
        <v>48834.4</v>
      </c>
      <c r="F17" s="857">
        <v>165.17451837229493</v>
      </c>
      <c r="G17" s="855"/>
      <c r="H17" s="855"/>
      <c r="I17" s="850"/>
    </row>
    <row r="18" spans="1:9" ht="12.75" customHeight="1">
      <c r="A18" s="855" t="s">
        <v>632</v>
      </c>
      <c r="B18" s="855"/>
      <c r="C18" s="858">
        <v>18945.1</v>
      </c>
      <c r="D18" s="857">
        <v>176.8403122707191</v>
      </c>
      <c r="E18" s="858">
        <v>503025.4000000001</v>
      </c>
      <c r="F18" s="857">
        <v>191.30499513543447</v>
      </c>
      <c r="G18" s="855"/>
      <c r="H18" s="855"/>
      <c r="I18" s="850"/>
    </row>
    <row r="19" spans="1:9" ht="12.75" customHeight="1">
      <c r="A19" s="855" t="s">
        <v>633</v>
      </c>
      <c r="B19" s="855"/>
      <c r="C19" s="858">
        <v>0</v>
      </c>
      <c r="D19" s="857">
        <v>0</v>
      </c>
      <c r="E19" s="858">
        <v>63289</v>
      </c>
      <c r="F19" s="857">
        <v>159.07373951239552</v>
      </c>
      <c r="G19" s="855"/>
      <c r="H19" s="855"/>
      <c r="I19" s="850"/>
    </row>
    <row r="20" spans="1:9" ht="12.75" customHeight="1">
      <c r="A20" s="855" t="s">
        <v>634</v>
      </c>
      <c r="B20" s="855"/>
      <c r="C20" s="858">
        <v>0</v>
      </c>
      <c r="D20" s="857">
        <v>0</v>
      </c>
      <c r="E20" s="858">
        <v>4985</v>
      </c>
      <c r="F20" s="857">
        <v>194.4</v>
      </c>
      <c r="G20" s="855"/>
      <c r="H20" s="855"/>
      <c r="I20" s="850"/>
    </row>
    <row r="21" spans="1:9" ht="12.75" customHeight="1">
      <c r="A21" s="855" t="s">
        <v>1448</v>
      </c>
      <c r="B21" s="855"/>
      <c r="C21" s="858">
        <v>0</v>
      </c>
      <c r="D21" s="857">
        <v>0</v>
      </c>
      <c r="E21" s="858">
        <v>707.5</v>
      </c>
      <c r="F21" s="857">
        <v>177.61484098939928</v>
      </c>
      <c r="G21" s="855"/>
      <c r="H21" s="855"/>
      <c r="I21" s="850"/>
    </row>
    <row r="22" spans="1:9" ht="12.75" customHeight="1">
      <c r="A22" s="855" t="s">
        <v>635</v>
      </c>
      <c r="B22" s="855"/>
      <c r="C22" s="858">
        <v>4964</v>
      </c>
      <c r="D22" s="857">
        <v>147.51631748589847</v>
      </c>
      <c r="E22" s="858">
        <v>107665.60000000002</v>
      </c>
      <c r="F22" s="857">
        <v>183.08331259009373</v>
      </c>
      <c r="G22" s="855"/>
      <c r="H22" s="855"/>
      <c r="I22" s="850"/>
    </row>
    <row r="23" spans="1:9" ht="12.75" customHeight="1">
      <c r="A23" s="855" t="s">
        <v>636</v>
      </c>
      <c r="B23" s="855"/>
      <c r="C23" s="858">
        <v>27171.5</v>
      </c>
      <c r="D23" s="857">
        <v>265.47406289678526</v>
      </c>
      <c r="E23" s="858">
        <v>711199.1</v>
      </c>
      <c r="F23" s="857">
        <v>285.59919268739236</v>
      </c>
      <c r="G23" s="855"/>
      <c r="H23" s="855"/>
      <c r="I23" s="850"/>
    </row>
    <row r="24" spans="1:9" ht="12.75" customHeight="1">
      <c r="A24" s="855" t="s">
        <v>637</v>
      </c>
      <c r="B24" s="855"/>
      <c r="C24" s="858">
        <v>0</v>
      </c>
      <c r="D24" s="857">
        <v>0</v>
      </c>
      <c r="E24" s="858">
        <v>45868.3</v>
      </c>
      <c r="F24" s="857">
        <v>134.92831868632587</v>
      </c>
      <c r="G24" s="855"/>
      <c r="H24" s="855"/>
      <c r="I24" s="850"/>
    </row>
    <row r="25" spans="1:9" ht="12.75" customHeight="1">
      <c r="A25" s="855" t="s">
        <v>638</v>
      </c>
      <c r="B25" s="855"/>
      <c r="C25" s="858">
        <v>5711.5</v>
      </c>
      <c r="D25" s="857">
        <v>143.83428171233476</v>
      </c>
      <c r="E25" s="858">
        <v>154120.39999999997</v>
      </c>
      <c r="F25" s="857">
        <v>192.29238569326324</v>
      </c>
      <c r="G25" s="855"/>
      <c r="H25" s="855"/>
      <c r="I25" s="850"/>
    </row>
    <row r="26" spans="1:9" ht="12.75" customHeight="1">
      <c r="A26" s="855" t="s">
        <v>856</v>
      </c>
      <c r="B26" s="855"/>
      <c r="C26" s="858">
        <v>0</v>
      </c>
      <c r="D26" s="857">
        <v>0</v>
      </c>
      <c r="E26" s="858">
        <v>5483.7</v>
      </c>
      <c r="F26" s="857">
        <v>197.13614895052612</v>
      </c>
      <c r="G26" s="855"/>
      <c r="H26" s="855"/>
      <c r="I26" s="850"/>
    </row>
    <row r="27" spans="1:9" ht="12.75" customHeight="1">
      <c r="A27" s="855" t="s">
        <v>639</v>
      </c>
      <c r="B27" s="855"/>
      <c r="C27" s="858">
        <v>1992.2</v>
      </c>
      <c r="D27" s="857">
        <v>116.24661178596526</v>
      </c>
      <c r="E27" s="858">
        <v>133964</v>
      </c>
      <c r="F27" s="857">
        <v>180.2371756591323</v>
      </c>
      <c r="G27" s="855"/>
      <c r="H27" s="855"/>
      <c r="I27" s="850"/>
    </row>
    <row r="28" spans="1:9" ht="12.75" customHeight="1">
      <c r="A28" s="855" t="s">
        <v>1374</v>
      </c>
      <c r="B28" s="855"/>
      <c r="C28" s="858">
        <v>0</v>
      </c>
      <c r="D28" s="857">
        <v>0</v>
      </c>
      <c r="E28" s="858">
        <v>1497</v>
      </c>
      <c r="F28" s="857">
        <v>140</v>
      </c>
      <c r="G28" s="855"/>
      <c r="H28" s="855"/>
      <c r="I28" s="850"/>
    </row>
    <row r="29" spans="1:9" ht="12.75" customHeight="1">
      <c r="A29" s="855" t="s">
        <v>640</v>
      </c>
      <c r="B29" s="855"/>
      <c r="C29" s="858">
        <v>6477.8</v>
      </c>
      <c r="D29" s="857">
        <v>147.64498749575472</v>
      </c>
      <c r="E29" s="858">
        <v>238827.6</v>
      </c>
      <c r="F29" s="857">
        <v>206.8227780206308</v>
      </c>
      <c r="G29" s="855"/>
      <c r="H29" s="855"/>
      <c r="I29" s="850"/>
    </row>
    <row r="30" spans="1:9" ht="12.75" customHeight="1">
      <c r="A30" s="855" t="s">
        <v>641</v>
      </c>
      <c r="B30" s="855"/>
      <c r="C30" s="858">
        <v>10452.5</v>
      </c>
      <c r="D30" s="857">
        <v>127.46573546998327</v>
      </c>
      <c r="E30" s="858">
        <v>177107.79999999996</v>
      </c>
      <c r="F30" s="857">
        <v>187.64463846312816</v>
      </c>
      <c r="G30" s="855"/>
      <c r="H30" s="855"/>
      <c r="I30" s="850"/>
    </row>
    <row r="31" spans="1:9" ht="12.75" customHeight="1">
      <c r="A31" s="855" t="s">
        <v>642</v>
      </c>
      <c r="B31" s="855"/>
      <c r="C31" s="858">
        <v>0</v>
      </c>
      <c r="D31" s="857">
        <v>0</v>
      </c>
      <c r="E31" s="858">
        <v>10491</v>
      </c>
      <c r="F31" s="857">
        <v>175.05290248784672</v>
      </c>
      <c r="G31" s="855"/>
      <c r="H31" s="855"/>
      <c r="I31" s="850"/>
    </row>
    <row r="32" spans="1:9" ht="12.75" customHeight="1">
      <c r="A32" s="855" t="s">
        <v>643</v>
      </c>
      <c r="B32" s="855"/>
      <c r="C32" s="858">
        <v>0</v>
      </c>
      <c r="D32" s="857">
        <v>0</v>
      </c>
      <c r="E32" s="858">
        <v>1233</v>
      </c>
      <c r="F32" s="857">
        <v>171.3199513381995</v>
      </c>
      <c r="G32" s="855"/>
      <c r="H32" s="855"/>
      <c r="I32" s="850"/>
    </row>
    <row r="33" spans="1:9" ht="12.75" customHeight="1">
      <c r="A33" s="855" t="s">
        <v>644</v>
      </c>
      <c r="B33" s="855"/>
      <c r="C33" s="858">
        <v>21435.9</v>
      </c>
      <c r="D33" s="857">
        <v>181.93935873931113</v>
      </c>
      <c r="E33" s="858">
        <v>784488</v>
      </c>
      <c r="F33" s="857">
        <v>194.03361861494372</v>
      </c>
      <c r="G33" s="855"/>
      <c r="H33" s="855"/>
      <c r="I33" s="850"/>
    </row>
    <row r="34" spans="1:9" ht="12.75" customHeight="1">
      <c r="A34" s="855" t="s">
        <v>645</v>
      </c>
      <c r="B34" s="855"/>
      <c r="C34" s="858">
        <v>0</v>
      </c>
      <c r="D34" s="857">
        <v>0</v>
      </c>
      <c r="E34" s="858">
        <v>496810.5</v>
      </c>
      <c r="F34" s="857">
        <v>226.59080514602653</v>
      </c>
      <c r="G34" s="855"/>
      <c r="H34" s="855"/>
      <c r="I34" s="850"/>
    </row>
    <row r="35" spans="1:9" ht="12.75" customHeight="1">
      <c r="A35" s="855" t="s">
        <v>646</v>
      </c>
      <c r="B35" s="855"/>
      <c r="C35" s="858">
        <v>0</v>
      </c>
      <c r="D35" s="857">
        <v>0</v>
      </c>
      <c r="E35" s="858">
        <v>146176.19999999998</v>
      </c>
      <c r="F35" s="857">
        <v>124.04845932511586</v>
      </c>
      <c r="G35" s="855"/>
      <c r="H35" s="855"/>
      <c r="I35" s="850"/>
    </row>
    <row r="36" spans="1:9" ht="12.75" customHeight="1">
      <c r="A36" s="855" t="s">
        <v>647</v>
      </c>
      <c r="B36" s="855"/>
      <c r="C36" s="858">
        <v>13470.5</v>
      </c>
      <c r="D36" s="857">
        <v>148.2665379904235</v>
      </c>
      <c r="E36" s="858">
        <v>331971.4</v>
      </c>
      <c r="F36" s="857">
        <v>147.67456353167773</v>
      </c>
      <c r="G36" s="855"/>
      <c r="H36" s="855"/>
      <c r="I36" s="850"/>
    </row>
    <row r="37" spans="1:9" ht="12.75" customHeight="1">
      <c r="A37" s="855" t="s">
        <v>880</v>
      </c>
      <c r="B37" s="855"/>
      <c r="C37" s="858">
        <v>0</v>
      </c>
      <c r="D37" s="857">
        <v>0</v>
      </c>
      <c r="E37" s="858">
        <v>49847.700000000004</v>
      </c>
      <c r="F37" s="857">
        <v>236.32333688414911</v>
      </c>
      <c r="G37" s="855"/>
      <c r="H37" s="855"/>
      <c r="I37" s="850"/>
    </row>
    <row r="38" spans="1:9" ht="12.75" customHeight="1">
      <c r="A38" s="855" t="s">
        <v>648</v>
      </c>
      <c r="B38" s="855"/>
      <c r="C38" s="858">
        <v>0</v>
      </c>
      <c r="D38" s="857">
        <v>0</v>
      </c>
      <c r="E38" s="858">
        <v>15560.2</v>
      </c>
      <c r="F38" s="857">
        <v>164.04772432230948</v>
      </c>
      <c r="G38" s="855"/>
      <c r="H38" s="855"/>
      <c r="I38" s="850"/>
    </row>
    <row r="39" spans="1:9" ht="12.75" customHeight="1">
      <c r="A39" s="855" t="s">
        <v>650</v>
      </c>
      <c r="B39" s="855"/>
      <c r="C39" s="858">
        <v>0</v>
      </c>
      <c r="D39" s="857">
        <v>0</v>
      </c>
      <c r="E39" s="858">
        <v>90429.4</v>
      </c>
      <c r="F39" s="857">
        <v>145.92302061055364</v>
      </c>
      <c r="G39" s="855"/>
      <c r="H39" s="855"/>
      <c r="I39" s="850"/>
    </row>
    <row r="40" spans="1:9" ht="12.75" customHeight="1">
      <c r="A40" s="855" t="s">
        <v>649</v>
      </c>
      <c r="B40" s="855"/>
      <c r="C40" s="858">
        <v>28932.1</v>
      </c>
      <c r="D40" s="857">
        <v>134.18042243736195</v>
      </c>
      <c r="E40" s="858">
        <v>191582.2</v>
      </c>
      <c r="F40" s="857">
        <v>136.05388392032248</v>
      </c>
      <c r="G40" s="855"/>
      <c r="H40" s="855"/>
      <c r="I40" s="850"/>
    </row>
    <row r="41" spans="1:9" ht="12.75" customHeight="1">
      <c r="A41" s="855" t="s">
        <v>719</v>
      </c>
      <c r="B41" s="855"/>
      <c r="C41" s="858">
        <v>1486.5</v>
      </c>
      <c r="D41" s="857">
        <v>129</v>
      </c>
      <c r="E41" s="858">
        <v>40088.3</v>
      </c>
      <c r="F41" s="857">
        <v>171.32182457225673</v>
      </c>
      <c r="G41" s="855"/>
      <c r="H41" s="855"/>
      <c r="I41" s="850"/>
    </row>
    <row r="42" spans="1:9" ht="12.75" customHeight="1">
      <c r="A42" s="855" t="s">
        <v>651</v>
      </c>
      <c r="B42" s="855"/>
      <c r="C42" s="858">
        <v>0</v>
      </c>
      <c r="D42" s="857">
        <v>0</v>
      </c>
      <c r="E42" s="858">
        <v>23430.9</v>
      </c>
      <c r="F42" s="857">
        <v>189.22787857060547</v>
      </c>
      <c r="G42" s="855"/>
      <c r="H42" s="855"/>
      <c r="I42" s="850"/>
    </row>
    <row r="43" spans="1:9" ht="12.75" customHeight="1">
      <c r="A43" s="855" t="s">
        <v>652</v>
      </c>
      <c r="B43" s="855"/>
      <c r="C43" s="858">
        <v>498.5</v>
      </c>
      <c r="D43" s="857">
        <v>123</v>
      </c>
      <c r="E43" s="858">
        <v>35553.4</v>
      </c>
      <c r="F43" s="857">
        <v>171.20229007633588</v>
      </c>
      <c r="G43" s="855"/>
      <c r="H43" s="855"/>
      <c r="I43" s="850"/>
    </row>
    <row r="44" spans="1:9" ht="12.75" customHeight="1">
      <c r="A44" s="855" t="s">
        <v>653</v>
      </c>
      <c r="B44" s="855"/>
      <c r="C44" s="873">
        <v>0</v>
      </c>
      <c r="D44" s="874">
        <v>0</v>
      </c>
      <c r="E44" s="873">
        <v>8317.9</v>
      </c>
      <c r="F44" s="874">
        <v>174.2495581817526</v>
      </c>
      <c r="G44" s="855"/>
      <c r="H44" s="855"/>
      <c r="I44" s="850"/>
    </row>
    <row r="45" spans="1:9" ht="12.75" customHeight="1">
      <c r="A45" s="855" t="s">
        <v>881</v>
      </c>
      <c r="B45" s="855"/>
      <c r="C45" s="858">
        <v>0</v>
      </c>
      <c r="D45" s="857">
        <v>0</v>
      </c>
      <c r="E45" s="858">
        <v>40890.5</v>
      </c>
      <c r="F45" s="857">
        <v>129.76068279918317</v>
      </c>
      <c r="G45" s="855"/>
      <c r="H45" s="855"/>
      <c r="I45" s="850"/>
    </row>
    <row r="46" spans="1:9" ht="12.75" customHeight="1">
      <c r="A46" s="855" t="s">
        <v>654</v>
      </c>
      <c r="B46" s="855"/>
      <c r="C46" s="858">
        <v>8947.5</v>
      </c>
      <c r="D46" s="857">
        <v>137.7702710254261</v>
      </c>
      <c r="E46" s="858">
        <v>83662.5</v>
      </c>
      <c r="F46" s="857">
        <v>185.86954011653967</v>
      </c>
      <c r="G46" s="855"/>
      <c r="H46" s="855"/>
      <c r="I46" s="850"/>
    </row>
    <row r="47" spans="1:9" ht="12.75" customHeight="1">
      <c r="A47" s="855" t="s">
        <v>655</v>
      </c>
      <c r="B47" s="855"/>
      <c r="C47" s="858">
        <v>12955.1</v>
      </c>
      <c r="D47" s="857">
        <v>157.3192179141805</v>
      </c>
      <c r="E47" s="858">
        <v>846321.7</v>
      </c>
      <c r="F47" s="857">
        <v>189.06465791908676</v>
      </c>
      <c r="G47" s="855"/>
      <c r="H47" s="855"/>
      <c r="I47" s="850"/>
    </row>
    <row r="48" spans="1:9" ht="12.75" customHeight="1">
      <c r="A48" s="855" t="s">
        <v>656</v>
      </c>
      <c r="B48" s="855"/>
      <c r="C48" s="858">
        <v>6480.5</v>
      </c>
      <c r="D48" s="857">
        <v>128.84615384615384</v>
      </c>
      <c r="E48" s="858">
        <v>154019.59999999998</v>
      </c>
      <c r="F48" s="857">
        <v>130.9335169030435</v>
      </c>
      <c r="G48" s="855"/>
      <c r="H48" s="855"/>
      <c r="I48" s="850"/>
    </row>
    <row r="49" spans="1:9" ht="12.75" customHeight="1">
      <c r="A49" s="855" t="s">
        <v>1193</v>
      </c>
      <c r="B49" s="855"/>
      <c r="C49" s="858">
        <v>0</v>
      </c>
      <c r="D49" s="857">
        <v>0</v>
      </c>
      <c r="E49" s="858">
        <v>59643.899999999994</v>
      </c>
      <c r="F49" s="857">
        <v>128.8978822645736</v>
      </c>
      <c r="G49" s="855"/>
      <c r="H49" s="855"/>
      <c r="I49" s="850"/>
    </row>
    <row r="50" spans="1:9" ht="12.75" customHeight="1">
      <c r="A50" s="855" t="s">
        <v>657</v>
      </c>
      <c r="B50" s="867"/>
      <c r="C50" s="858">
        <v>498.5</v>
      </c>
      <c r="D50" s="857">
        <v>124</v>
      </c>
      <c r="E50" s="858">
        <v>151676.79999999996</v>
      </c>
      <c r="F50" s="857">
        <v>134.35169320555292</v>
      </c>
      <c r="G50" s="855"/>
      <c r="H50" s="855"/>
      <c r="I50" s="850"/>
    </row>
    <row r="51" spans="1:9" ht="12.75" customHeight="1">
      <c r="A51" s="875" t="s">
        <v>659</v>
      </c>
      <c r="B51" s="876"/>
      <c r="C51" s="877">
        <v>32854.2</v>
      </c>
      <c r="D51" s="878">
        <v>179.63882547741235</v>
      </c>
      <c r="E51" s="877">
        <v>999163.9999999999</v>
      </c>
      <c r="F51" s="878">
        <v>198.1841869803156</v>
      </c>
      <c r="G51" s="879"/>
      <c r="H51" s="880"/>
      <c r="I51" s="850"/>
    </row>
    <row r="52" spans="1:9" ht="12.75" customHeight="1">
      <c r="A52" s="875" t="s">
        <v>658</v>
      </c>
      <c r="B52" s="881"/>
      <c r="C52" s="882">
        <v>0</v>
      </c>
      <c r="D52" s="883">
        <v>0</v>
      </c>
      <c r="E52" s="882">
        <v>184066.09999999998</v>
      </c>
      <c r="F52" s="883">
        <v>135.51326289849138</v>
      </c>
      <c r="G52" s="516"/>
      <c r="H52" s="884"/>
      <c r="I52" s="850"/>
    </row>
    <row r="53" spans="1:9" ht="13.5" customHeight="1">
      <c r="A53" s="875" t="s">
        <v>961</v>
      </c>
      <c r="B53" s="881"/>
      <c r="C53" s="877">
        <v>0</v>
      </c>
      <c r="D53" s="878">
        <v>0</v>
      </c>
      <c r="E53" s="877">
        <v>121174.59999999999</v>
      </c>
      <c r="F53" s="885">
        <v>138.51194722326298</v>
      </c>
      <c r="G53" s="862"/>
      <c r="H53" s="886"/>
      <c r="I53" s="850"/>
    </row>
    <row r="54" spans="1:9" ht="16.5" customHeight="1">
      <c r="A54" s="855" t="s">
        <v>960</v>
      </c>
      <c r="B54" s="887"/>
      <c r="C54" s="888">
        <v>0</v>
      </c>
      <c r="D54" s="889">
        <v>0</v>
      </c>
      <c r="E54" s="888">
        <v>11226.9</v>
      </c>
      <c r="F54" s="890">
        <v>129.66629256517828</v>
      </c>
      <c r="G54" s="857"/>
      <c r="H54" s="891"/>
      <c r="I54" s="850"/>
    </row>
    <row r="55" spans="1:9" ht="12.75" customHeight="1">
      <c r="A55" s="855" t="s">
        <v>660</v>
      </c>
      <c r="B55" s="892"/>
      <c r="C55" s="865">
        <v>214724</v>
      </c>
      <c r="D55" s="868">
        <v>169.6859917848028</v>
      </c>
      <c r="E55" s="893">
        <v>7462881.7</v>
      </c>
      <c r="F55" s="894">
        <v>190.92199460966927</v>
      </c>
      <c r="G55" s="516"/>
      <c r="H55" s="895"/>
      <c r="I55" s="850"/>
    </row>
    <row r="56" spans="1:9" ht="12.75" customHeight="1">
      <c r="A56" s="875"/>
      <c r="B56" s="876"/>
      <c r="C56" s="877">
        <v>0</v>
      </c>
      <c r="D56" s="878"/>
      <c r="E56" s="877">
        <v>0</v>
      </c>
      <c r="F56" s="878"/>
      <c r="G56" s="896"/>
      <c r="H56" s="897"/>
      <c r="I56" s="851"/>
    </row>
    <row r="57" spans="1:9" ht="12.75" customHeight="1">
      <c r="A57" s="898" t="s">
        <v>76</v>
      </c>
      <c r="B57" s="899"/>
      <c r="C57" s="900" t="s">
        <v>661</v>
      </c>
      <c r="D57" s="896" t="s">
        <v>85</v>
      </c>
      <c r="E57" s="900" t="s">
        <v>661</v>
      </c>
      <c r="F57" s="901" t="s">
        <v>85</v>
      </c>
      <c r="G57" s="902"/>
      <c r="H57" s="903"/>
      <c r="I57" s="852"/>
    </row>
    <row r="58" spans="1:9" ht="12.75" customHeight="1">
      <c r="A58" s="875" t="s">
        <v>628</v>
      </c>
      <c r="B58" s="876"/>
      <c r="C58" s="877">
        <v>0</v>
      </c>
      <c r="D58" s="904">
        <v>0</v>
      </c>
      <c r="E58" s="905">
        <v>20</v>
      </c>
      <c r="F58" s="906">
        <v>750</v>
      </c>
      <c r="G58" s="907"/>
      <c r="H58" s="908"/>
      <c r="I58" s="853"/>
    </row>
    <row r="59" spans="1:9" ht="12.75" customHeight="1">
      <c r="A59" s="875" t="s">
        <v>639</v>
      </c>
      <c r="B59" s="881"/>
      <c r="C59" s="877">
        <v>28</v>
      </c>
      <c r="D59" s="878">
        <v>250</v>
      </c>
      <c r="E59" s="877">
        <v>59</v>
      </c>
      <c r="F59" s="909">
        <v>447.45762711864404</v>
      </c>
      <c r="G59" s="878"/>
      <c r="H59" s="910"/>
      <c r="I59" s="852"/>
    </row>
    <row r="60" spans="1:9" ht="15" customHeight="1">
      <c r="A60" s="875" t="s">
        <v>641</v>
      </c>
      <c r="B60" s="911"/>
      <c r="C60" s="900">
        <v>20</v>
      </c>
      <c r="D60" s="896">
        <v>450</v>
      </c>
      <c r="E60" s="912">
        <v>359</v>
      </c>
      <c r="F60" s="913">
        <v>733.0362116991644</v>
      </c>
      <c r="G60" s="914"/>
      <c r="H60" s="915"/>
      <c r="I60" s="852"/>
    </row>
    <row r="61" spans="1:9" ht="15" customHeight="1">
      <c r="A61" s="855" t="s">
        <v>660</v>
      </c>
      <c r="B61" s="916"/>
      <c r="C61" s="888">
        <v>48</v>
      </c>
      <c r="D61" s="917">
        <v>333.3333333333333</v>
      </c>
      <c r="E61" s="888">
        <v>438</v>
      </c>
      <c r="F61" s="918">
        <v>695.3424657534247</v>
      </c>
      <c r="G61" s="919"/>
      <c r="H61" s="920"/>
      <c r="I61" s="852"/>
    </row>
    <row r="62" spans="1:10" ht="12.75" customHeight="1">
      <c r="A62" s="875" t="s">
        <v>662</v>
      </c>
      <c r="B62" s="921"/>
      <c r="C62" s="922">
        <v>214772</v>
      </c>
      <c r="D62" s="923">
        <v>169.72256579069898</v>
      </c>
      <c r="E62" s="921">
        <v>7463319.7</v>
      </c>
      <c r="F62" s="924">
        <v>190.9515975444546</v>
      </c>
      <c r="G62" s="923"/>
      <c r="H62" s="925"/>
      <c r="I62" s="852"/>
      <c r="J62" s="570"/>
    </row>
    <row r="63" spans="1:10" ht="12.75" customHeight="1">
      <c r="A63" s="926"/>
      <c r="B63" s="927"/>
      <c r="C63" s="928">
        <v>0</v>
      </c>
      <c r="D63" s="929"/>
      <c r="E63" s="928">
        <v>0</v>
      </c>
      <c r="F63" s="930"/>
      <c r="G63" s="931"/>
      <c r="H63" s="931"/>
      <c r="I63" s="852"/>
      <c r="J63" s="570"/>
    </row>
    <row r="64" spans="1:10" ht="12.75" customHeight="1">
      <c r="A64" s="932"/>
      <c r="B64" s="933"/>
      <c r="C64" s="934" t="s">
        <v>1815</v>
      </c>
      <c r="D64" s="935"/>
      <c r="E64" s="936" t="s">
        <v>1816</v>
      </c>
      <c r="F64" s="937"/>
      <c r="G64" s="511"/>
      <c r="H64" s="938"/>
      <c r="I64" s="852"/>
      <c r="J64" s="570"/>
    </row>
    <row r="65" spans="1:9" ht="12.75" customHeight="1">
      <c r="A65" s="939" t="s">
        <v>663</v>
      </c>
      <c r="B65" s="940" t="s">
        <v>6</v>
      </c>
      <c r="C65" s="941" t="s">
        <v>0</v>
      </c>
      <c r="D65" s="942" t="s">
        <v>7</v>
      </c>
      <c r="E65" s="940" t="s">
        <v>6</v>
      </c>
      <c r="F65" s="941" t="s">
        <v>0</v>
      </c>
      <c r="G65" s="942" t="s">
        <v>7</v>
      </c>
      <c r="H65" s="942" t="s">
        <v>2</v>
      </c>
      <c r="I65" s="852"/>
    </row>
    <row r="66" spans="1:9" ht="12.75" customHeight="1">
      <c r="A66" s="943" t="s">
        <v>664</v>
      </c>
      <c r="B66" s="944">
        <v>0</v>
      </c>
      <c r="C66" s="945">
        <v>0</v>
      </c>
      <c r="D66" s="946">
        <v>0</v>
      </c>
      <c r="E66" s="944">
        <v>185</v>
      </c>
      <c r="F66" s="945">
        <v>9224.5</v>
      </c>
      <c r="G66" s="946">
        <v>118.44679928451407</v>
      </c>
      <c r="H66" s="947">
        <f>F66/F68</f>
        <v>0.0012359781398618096</v>
      </c>
      <c r="I66" s="956"/>
    </row>
    <row r="67" spans="1:9" ht="12.75" customHeight="1">
      <c r="A67" s="948" t="s">
        <v>665</v>
      </c>
      <c r="B67" s="949">
        <v>4321</v>
      </c>
      <c r="C67" s="950">
        <v>214772</v>
      </c>
      <c r="D67" s="951">
        <v>169.72256579069898</v>
      </c>
      <c r="E67" s="949">
        <v>149505</v>
      </c>
      <c r="F67" s="950">
        <v>7454095.2</v>
      </c>
      <c r="G67" s="951">
        <v>191.0413227885793</v>
      </c>
      <c r="H67" s="952">
        <f>F67/F68</f>
        <v>0.9987640218601382</v>
      </c>
      <c r="I67" s="852"/>
    </row>
    <row r="68" spans="1:9" ht="12.75" customHeight="1">
      <c r="A68" s="948" t="s">
        <v>666</v>
      </c>
      <c r="B68" s="949">
        <v>4321</v>
      </c>
      <c r="C68" s="950">
        <v>214772</v>
      </c>
      <c r="D68" s="951">
        <v>169.72256579069898</v>
      </c>
      <c r="E68" s="949">
        <v>149690</v>
      </c>
      <c r="F68" s="950">
        <v>7463319.7</v>
      </c>
      <c r="G68" s="951">
        <v>190.9515975444546</v>
      </c>
      <c r="H68" s="952">
        <f>SUM(H66:H67)</f>
        <v>1</v>
      </c>
      <c r="I68" s="852"/>
    </row>
    <row r="69" spans="1:9" ht="12.75" customHeight="1">
      <c r="A69" s="953"/>
      <c r="B69" s="953"/>
      <c r="C69" s="954"/>
      <c r="D69" s="955" t="s">
        <v>1146</v>
      </c>
      <c r="E69" s="954"/>
      <c r="F69" s="955"/>
      <c r="G69" s="953"/>
      <c r="H69" s="953"/>
      <c r="I69" s="852"/>
    </row>
    <row r="70" spans="1:8" ht="12.7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2.7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2.7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2.7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2.7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2.7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2.7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2.7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2.7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2.7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2.7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2.7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2.7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2.7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2.7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2.7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2.75" customHeight="1">
      <c r="A86" s="511"/>
      <c r="B86" s="511"/>
      <c r="C86" s="723"/>
      <c r="D86" s="724"/>
      <c r="E86" s="723"/>
      <c r="F86" s="724"/>
      <c r="G86" s="511"/>
      <c r="H86" s="511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2023-03-11T05:31:58Z</cp:lastPrinted>
  <dcterms:created xsi:type="dcterms:W3CDTF">2017-09-24T04:46:07Z</dcterms:created>
  <dcterms:modified xsi:type="dcterms:W3CDTF">2023-03-12T04:00:54Z</dcterms:modified>
  <cp:category/>
  <cp:version/>
  <cp:contentType/>
  <cp:contentStatus/>
</cp:coreProperties>
</file>