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36" windowWidth="15480" windowHeight="8136" activeTab="0"/>
  </bookViews>
  <sheets>
    <sheet name="uptodate43" sheetId="1" r:id="rId1"/>
    <sheet name="aucav43" sheetId="2" r:id="rId2"/>
    <sheet name="bp43" sheetId="3" r:id="rId3"/>
    <sheet name="bp42" sheetId="4" r:id="rId4"/>
    <sheet name="bp41" sheetId="5" r:id="rId5"/>
    <sheet name="bp40" sheetId="6" r:id="rId6"/>
    <sheet name="upto40" sheetId="7" r:id="rId7"/>
    <sheet name="bp39" sheetId="8" r:id="rId8"/>
    <sheet name="uptodate42" sheetId="9" r:id="rId9"/>
    <sheet name="uptodate41" sheetId="10" r:id="rId10"/>
    <sheet name="uptodate40" sheetId="11" r:id="rId11"/>
    <sheet name="uptodate39" sheetId="12" r:id="rId12"/>
    <sheet name="uptodate38&amp;20(sreem)" sheetId="13" r:id="rId13"/>
    <sheet name="aucav20(sreem)" sheetId="14" r:id="rId14"/>
    <sheet name="bp38" sheetId="15" r:id="rId15"/>
    <sheet name="bp20(sreem)" sheetId="16" r:id="rId16"/>
    <sheet name="bp37" sheetId="17" r:id="rId17"/>
    <sheet name="uptodate37" sheetId="18" r:id="rId18"/>
    <sheet name="uptodate36" sheetId="19" r:id="rId19"/>
    <sheet name="uptodate35" sheetId="20" r:id="rId20"/>
    <sheet name="bp36" sheetId="21" r:id="rId21"/>
    <sheet name="bp35" sheetId="22" r:id="rId22"/>
    <sheet name="uptodate34" sheetId="23" r:id="rId23"/>
    <sheet name="aucav34" sheetId="24" r:id="rId24"/>
    <sheet name="bp34" sheetId="25" r:id="rId25"/>
    <sheet name="bp33" sheetId="26" r:id="rId26"/>
    <sheet name="bp32" sheetId="27" r:id="rId27"/>
    <sheet name="bp31" sheetId="28" r:id="rId28"/>
    <sheet name="uptodate33" sheetId="29" r:id="rId29"/>
    <sheet name="uptodate30" sheetId="30" r:id="rId30"/>
    <sheet name="bp30" sheetId="31" r:id="rId31"/>
    <sheet name="uptodate30 includes Sreemongal" sheetId="32" r:id="rId32"/>
    <sheet name="aucav16(sreem)" sheetId="33" r:id="rId33"/>
    <sheet name="bp16(sreem)" sheetId="34" r:id="rId34"/>
    <sheet name="bp29" sheetId="35" r:id="rId35"/>
    <sheet name="bp28" sheetId="36" r:id="rId36"/>
    <sheet name="bp27" sheetId="37" r:id="rId37"/>
    <sheet name="bp26" sheetId="38" r:id="rId38"/>
    <sheet name="bp25" sheetId="39" r:id="rId39"/>
    <sheet name="bp24" sheetId="40" r:id="rId40"/>
    <sheet name="bp23" sheetId="41" r:id="rId41"/>
    <sheet name="bp12(sree)" sheetId="42" r:id="rId42"/>
    <sheet name="bp22" sheetId="43" r:id="rId43"/>
    <sheet name="bp21" sheetId="44" r:id="rId44"/>
    <sheet name="bp20" sheetId="45" r:id="rId45"/>
    <sheet name="bp19" sheetId="46" r:id="rId46"/>
    <sheet name="bp18" sheetId="47" r:id="rId47"/>
    <sheet name="bp17" sheetId="48" r:id="rId48"/>
    <sheet name="bp16" sheetId="49" r:id="rId49"/>
    <sheet name="bp15" sheetId="50" r:id="rId50"/>
    <sheet name="bp08(sree)" sheetId="51" r:id="rId51"/>
    <sheet name="bp14" sheetId="52" r:id="rId52"/>
    <sheet name="bp13" sheetId="53" r:id="rId53"/>
    <sheet name="bp12" sheetId="54" r:id="rId54"/>
    <sheet name="bp11" sheetId="55" r:id="rId55"/>
    <sheet name="bp10" sheetId="56" r:id="rId56"/>
    <sheet name="bp09" sheetId="57" r:id="rId57"/>
    <sheet name="bp08" sheetId="58" r:id="rId58"/>
    <sheet name="bp07" sheetId="59" r:id="rId59"/>
    <sheet name="bp04(sree)" sheetId="60" r:id="rId60"/>
    <sheet name="uptodate06" sheetId="61" r:id="rId61"/>
    <sheet name="aucav06" sheetId="62" r:id="rId62"/>
    <sheet name="bp06" sheetId="63" r:id="rId63"/>
    <sheet name="bp05" sheetId="64" r:id="rId64"/>
    <sheet name="bp04" sheetId="65" r:id="rId65"/>
    <sheet name="bp03" sheetId="66" r:id="rId66"/>
    <sheet name="bp02" sheetId="67" r:id="rId67"/>
    <sheet name="bp01" sheetId="68" r:id="rId68"/>
  </sheets>
  <externalReferences>
    <externalReference r:id="rId71"/>
  </externalReferences>
  <definedNames/>
  <calcPr fullCalcOnLoad="1"/>
</workbook>
</file>

<file path=xl/sharedStrings.xml><?xml version="1.0" encoding="utf-8"?>
<sst xmlns="http://schemas.openxmlformats.org/spreadsheetml/2006/main" count="6639" uniqueCount="1804">
  <si>
    <t>Kilograms</t>
  </si>
  <si>
    <t>Av. Price</t>
  </si>
  <si>
    <t>%</t>
  </si>
  <si>
    <t>Produce Brokers Limited</t>
  </si>
  <si>
    <t>1349/A, North Agrabad, D.T. Road,</t>
  </si>
  <si>
    <t>The Secretary</t>
  </si>
  <si>
    <t>Bangladesh Tea Board</t>
  </si>
  <si>
    <t>171/172, Baizid Bostami Road</t>
  </si>
  <si>
    <t>Dear Sir,</t>
  </si>
  <si>
    <t xml:space="preserve">               We mention below the auction average of the above mentioned sale.</t>
  </si>
  <si>
    <t>Packages</t>
  </si>
  <si>
    <t>Black Leaf :</t>
  </si>
  <si>
    <t>CTC</t>
  </si>
  <si>
    <t>Black Dust :</t>
  </si>
  <si>
    <t>Total:</t>
  </si>
  <si>
    <t>GREEN TEA</t>
  </si>
  <si>
    <t>GT</t>
  </si>
  <si>
    <t>Grand Total:</t>
  </si>
  <si>
    <t>Buyers Purchases :</t>
  </si>
  <si>
    <t>Export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</si>
  <si>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</si>
  <si>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</si>
  <si>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</si>
  <si>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</si>
  <si>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</si>
  <si>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</si>
  <si>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</si>
  <si>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</si>
  <si>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4. M/s. NBL/UBL/PPBL/PGBL/KS/PLANTERS Brokers Ltd., Ctg.</t>
  </si>
  <si>
    <t>GREEN TEA:</t>
  </si>
  <si>
    <t>Internal:</t>
  </si>
  <si>
    <t>Phone:02333323937, E-mail: prodbrok@gmail.com</t>
  </si>
  <si>
    <t>Sub-Total</t>
  </si>
  <si>
    <t>Askerabad (1st Floor), Chattogram-4224</t>
  </si>
  <si>
    <t>Amount (Tk.)</t>
  </si>
  <si>
    <t>Ref: No.PBL/114/2023</t>
  </si>
  <si>
    <t>Season: 2023-2024</t>
  </si>
  <si>
    <t>Old Season: 2022-2023</t>
  </si>
  <si>
    <t>New Season: 2024-2025</t>
  </si>
  <si>
    <t>We mention below the average prices realised by tea estates in our catalogue during the season 2023-2024.</t>
  </si>
  <si>
    <t>Buyers Purchase Analysis</t>
  </si>
  <si>
    <t>Pkgs.</t>
  </si>
  <si>
    <t>EXPORT:</t>
  </si>
  <si>
    <t>INTERNAL :</t>
  </si>
  <si>
    <t>TOTAL :</t>
  </si>
  <si>
    <t>Leaf</t>
  </si>
  <si>
    <t>Dust</t>
  </si>
  <si>
    <t>Totals</t>
  </si>
  <si>
    <t>Buyer's Name</t>
  </si>
  <si>
    <t>C/B</t>
  </si>
  <si>
    <t>Kgs</t>
  </si>
  <si>
    <t>Amount</t>
  </si>
  <si>
    <t>Avg.</t>
  </si>
  <si>
    <t>Abul Khair Consumer Prodts. Ltd.</t>
  </si>
  <si>
    <t>2,34,793.50</t>
  </si>
  <si>
    <t>Ahmed Tea House (Srimongal)</t>
  </si>
  <si>
    <t>3,71,881.00</t>
  </si>
  <si>
    <t>Bashundhara Food &amp; Beverae Ind</t>
  </si>
  <si>
    <t>7,15,846.00</t>
  </si>
  <si>
    <t>F. A. Tea House &amp; Nasima Food P</t>
  </si>
  <si>
    <t>5,38,380.00</t>
  </si>
  <si>
    <t>Green Leaf Tea</t>
  </si>
  <si>
    <t>9,47,749.00</t>
  </si>
  <si>
    <t>Gupta Tea House</t>
  </si>
  <si>
    <t>6,25,722.50</t>
  </si>
  <si>
    <t>Hossain Tea Supply</t>
  </si>
  <si>
    <t>1,32,102.50</t>
  </si>
  <si>
    <t>HRC Products  Limited</t>
  </si>
  <si>
    <t>13,41,643.50</t>
  </si>
  <si>
    <t>Imam Tea &amp; Trading</t>
  </si>
  <si>
    <t>1,29,610.00</t>
  </si>
  <si>
    <t>Ispahani Tea Ltd.</t>
  </si>
  <si>
    <t>6,37,174.50</t>
  </si>
  <si>
    <t>Kaisar Mollah Tea House</t>
  </si>
  <si>
    <t>11,63,499.00</t>
  </si>
  <si>
    <t>Kamal Tea &amp; Trading (KTC)</t>
  </si>
  <si>
    <t>6,03,040.70</t>
  </si>
  <si>
    <t>Kamona Tea House</t>
  </si>
  <si>
    <t>5,48,919.00</t>
  </si>
  <si>
    <t>Lovely Tea House</t>
  </si>
  <si>
    <t>3,42,942.50</t>
  </si>
  <si>
    <t>Md. Rafique Ullah Patwary Agenc</t>
  </si>
  <si>
    <t>2,79,658.50</t>
  </si>
  <si>
    <t>Meghna Tea Company Ltd.</t>
  </si>
  <si>
    <t>1,34,662.50</t>
  </si>
  <si>
    <t>Mintu Tea House</t>
  </si>
  <si>
    <t>1,66,825.00</t>
  </si>
  <si>
    <t>Mustaque Tea House</t>
  </si>
  <si>
    <t>7,02,386.50</t>
  </si>
  <si>
    <t>Nijhun Tea &amp; Trading</t>
  </si>
  <si>
    <t>Padma Tea Supply</t>
  </si>
  <si>
    <t>6,38,222.50</t>
  </si>
  <si>
    <t>Rajdhani Food Products</t>
  </si>
  <si>
    <t>3,80,355.50</t>
  </si>
  <si>
    <t>Shabnam Vegetable Oil Inds. Ltd</t>
  </si>
  <si>
    <t>4,92,178.50</t>
  </si>
  <si>
    <t>Sharif Tea House</t>
  </si>
  <si>
    <t>2,34,295.00</t>
  </si>
  <si>
    <t>Shati Tea House</t>
  </si>
  <si>
    <t>Shawon Cha Co.</t>
  </si>
  <si>
    <t>20,49,142.10</t>
  </si>
  <si>
    <t>Sylhet Tea Supply</t>
  </si>
  <si>
    <t>1,53,538.00</t>
  </si>
  <si>
    <t>Taj Tea &amp; Trading Company</t>
  </si>
  <si>
    <t>1,59,520.00</t>
  </si>
  <si>
    <t>The Consolidated Tea &amp; Lands C</t>
  </si>
  <si>
    <t>5,61,788.00</t>
  </si>
  <si>
    <t>Three Star</t>
  </si>
  <si>
    <t>1,79,460.00</t>
  </si>
  <si>
    <t>1,57,58,926.30</t>
  </si>
  <si>
    <t xml:space="preserve"> </t>
  </si>
  <si>
    <t>171/172, Baizid Bostami Road, Nasirabad</t>
  </si>
  <si>
    <t>Chittagong</t>
  </si>
  <si>
    <t>TEA AUCTION</t>
  </si>
  <si>
    <t>Ref: PBL/114/01/2023</t>
  </si>
  <si>
    <t>Date : 30/04/2023</t>
  </si>
  <si>
    <t>Buyers Purchase Statement of Sale No. 01 (2023-2024) Season held on 17th April, 2023</t>
  </si>
  <si>
    <t>Assuring you of our best services.</t>
  </si>
  <si>
    <t>c.c.to:</t>
  </si>
  <si>
    <t>Yours faithfully,</t>
  </si>
  <si>
    <t>1. The Deputy Director (Trade), Bangladesh Tea Board, Ctg.</t>
  </si>
  <si>
    <t xml:space="preserve">For: Produce Brokers Limited </t>
  </si>
  <si>
    <t>2. The Asstt. Director (Trade), Bangladesh Tea Board, Ctg.</t>
  </si>
  <si>
    <t>3. Executive Officer, Tea Traders Association of Bangladesh, Ctg.</t>
  </si>
  <si>
    <t>Ref: PBL/114/02/2023</t>
  </si>
  <si>
    <t>Date : 07/05/2023</t>
  </si>
  <si>
    <t>Buyers Purchase Statement of Sale No. 02 (2023-2024) Season held on 2nd May, 2023</t>
  </si>
  <si>
    <t>1,90,878.00</t>
  </si>
  <si>
    <t>Al-Amin Tea Traders</t>
  </si>
  <si>
    <t>6,00,261.30</t>
  </si>
  <si>
    <t>Dilmey Syndicate</t>
  </si>
  <si>
    <t>1,13,159.50</t>
  </si>
  <si>
    <t>Dulal &amp; Sons</t>
  </si>
  <si>
    <t>3,18,523.00</t>
  </si>
  <si>
    <t>2,19,528.80</t>
  </si>
  <si>
    <t>1,24,000.00</t>
  </si>
  <si>
    <t>Hossain Tea Store</t>
  </si>
  <si>
    <t>27,90,735.00</t>
  </si>
  <si>
    <t>17,19,647.00</t>
  </si>
  <si>
    <t>1,37,087.50</t>
  </si>
  <si>
    <t>35,78,124.10</t>
  </si>
  <si>
    <t>Jamuna Tea &amp; Trading  (Jamuna</t>
  </si>
  <si>
    <t>2,04,314.80</t>
  </si>
  <si>
    <t>9,17,560.90</t>
  </si>
  <si>
    <t>M A Tea Supply</t>
  </si>
  <si>
    <t>1,12,661.00</t>
  </si>
  <si>
    <t>Ma Moni Tea House</t>
  </si>
  <si>
    <t>2,94,613.50</t>
  </si>
  <si>
    <t>3,87,833.00</t>
  </si>
  <si>
    <t>2,96,007.00</t>
  </si>
  <si>
    <t>Nijhum Tea &amp; Trading</t>
  </si>
  <si>
    <t>1,59,661.00</t>
  </si>
  <si>
    <t>3,50,445.50</t>
  </si>
  <si>
    <t>Popular Tea House, Dhaka</t>
  </si>
  <si>
    <t>1,95,301.00</t>
  </si>
  <si>
    <t>Rahim Tea Supply</t>
  </si>
  <si>
    <t>3,09,121.00</t>
  </si>
  <si>
    <t>S. R. Enterprise (S.R. Corp.)</t>
  </si>
  <si>
    <t>3,35,490.50</t>
  </si>
  <si>
    <t>14,07,991.20</t>
  </si>
  <si>
    <t>3,91,821.00</t>
  </si>
  <si>
    <t>4,46,217.00</t>
  </si>
  <si>
    <t>9,53,287.20</t>
  </si>
  <si>
    <t>1,69,26,931.40</t>
  </si>
  <si>
    <t>Av.Price</t>
  </si>
  <si>
    <t>Ref: PBL/114/03/2023</t>
  </si>
  <si>
    <t>Date : 14/05/2023</t>
  </si>
  <si>
    <t>Buyers Purchase Statement of Sale No. 03 (2023-2024) Season held on 8th May, 2023</t>
  </si>
  <si>
    <t>Ajanta Tea House</t>
  </si>
  <si>
    <t>1,60,710.50</t>
  </si>
  <si>
    <t>7,70,534.00</t>
  </si>
  <si>
    <t>Ali Tea House</t>
  </si>
  <si>
    <t>1,54,535.00</t>
  </si>
  <si>
    <t>Ankur Tea House</t>
  </si>
  <si>
    <t>Bonani Tea</t>
  </si>
  <si>
    <t>2,92,788.90</t>
  </si>
  <si>
    <t>Danish Foods Ltd.</t>
  </si>
  <si>
    <t>3,47,942.40</t>
  </si>
  <si>
    <t>3,71,382.50</t>
  </si>
  <si>
    <t>5,42,027.00</t>
  </si>
  <si>
    <t>7,76,348.50</t>
  </si>
  <si>
    <t>1,51,045.50</t>
  </si>
  <si>
    <t>4,42,631.20</t>
  </si>
  <si>
    <t>2,60,715.50</t>
  </si>
  <si>
    <t>7,82,889.50</t>
  </si>
  <si>
    <t>Nishita Foods</t>
  </si>
  <si>
    <t>3,27,016.00</t>
  </si>
  <si>
    <t>Ruby Tea Stores</t>
  </si>
  <si>
    <t>1,33,099.50</t>
  </si>
  <si>
    <t>9,59,734.50</t>
  </si>
  <si>
    <t>Shahajalal Tea House</t>
  </si>
  <si>
    <t>1,48,095.00</t>
  </si>
  <si>
    <t>5,99,096.20</t>
  </si>
  <si>
    <t>1,64,550.00</t>
  </si>
  <si>
    <t>Ziku Tea Store</t>
  </si>
  <si>
    <t>3,84,343.50</t>
  </si>
  <si>
    <t>81,85,519.70</t>
  </si>
  <si>
    <t>Ref: PBL/114/04/2023</t>
  </si>
  <si>
    <t>Date : 21/05/2023</t>
  </si>
  <si>
    <t>Buyers Purchase Statement of Sale No. 04 (2023-2024) Season held on 15th May, 2023</t>
  </si>
  <si>
    <t>8,65,896.00</t>
  </si>
  <si>
    <t>1,23,628.00</t>
  </si>
  <si>
    <t>12,95,231.70</t>
  </si>
  <si>
    <t>1,50,547.00</t>
  </si>
  <si>
    <t>1,77,268.00</t>
  </si>
  <si>
    <t>Bengal Tea House</t>
  </si>
  <si>
    <t>5,13,171.00</t>
  </si>
  <si>
    <t>10,47,374.50</t>
  </si>
  <si>
    <t>City Tea Estates Ltd.</t>
  </si>
  <si>
    <t>5,65,772.40</t>
  </si>
  <si>
    <t>6,05,778.40</t>
  </si>
  <si>
    <t>1,57,549.00</t>
  </si>
  <si>
    <t>4,69,816.00</t>
  </si>
  <si>
    <t>8,50,053.50</t>
  </si>
  <si>
    <t>19,07,968.40</t>
  </si>
  <si>
    <t>6,17,726.00</t>
  </si>
  <si>
    <t>94,02,653.60</t>
  </si>
  <si>
    <t>6,28,857.40</t>
  </si>
  <si>
    <t>6,82,884.00</t>
  </si>
  <si>
    <t>1,57,342.50</t>
  </si>
  <si>
    <t>13,58,980.10</t>
  </si>
  <si>
    <t>M. Ahmad Tea &amp; Lands Co. Ltd.</t>
  </si>
  <si>
    <t>16,55,000.30</t>
  </si>
  <si>
    <t>14,38,657.50</t>
  </si>
  <si>
    <t>4,66,635.00</t>
  </si>
  <si>
    <t>9,03,169.70</t>
  </si>
  <si>
    <t>Pabna Tea Store</t>
  </si>
  <si>
    <t>2,11,633.80</t>
  </si>
  <si>
    <t>1,36,886.50</t>
  </si>
  <si>
    <t>Rose Tea House</t>
  </si>
  <si>
    <t>10,17,279.00</t>
  </si>
  <si>
    <t>4,37,797.50</t>
  </si>
  <si>
    <t>2,58,725.00</t>
  </si>
  <si>
    <t>Salim Tea House</t>
  </si>
  <si>
    <t>2,29,310.00</t>
  </si>
  <si>
    <t>14,25,531.20</t>
  </si>
  <si>
    <t>1,53,160.00</t>
  </si>
  <si>
    <t>Shaw Wallace (BD) Ltd.</t>
  </si>
  <si>
    <t>9,73,845.50</t>
  </si>
  <si>
    <t>6,28,934.80</t>
  </si>
  <si>
    <t>1,38,165.5</t>
  </si>
  <si>
    <t>1,66,856.2</t>
  </si>
  <si>
    <t>3,16,44,673.30</t>
  </si>
  <si>
    <t>C T C</t>
  </si>
  <si>
    <t>Ref: PBL/114/05/2023</t>
  </si>
  <si>
    <t>Date : 28/05/2023</t>
  </si>
  <si>
    <t>Buyers Purchase Statement of Sale No. 05 (2023-2024) Season held on 22nd May, 2023</t>
  </si>
  <si>
    <t>39,73,421.50</t>
  </si>
  <si>
    <t>2,06,622.00</t>
  </si>
  <si>
    <t>1,38,084.50</t>
  </si>
  <si>
    <t>1,56,814.00</t>
  </si>
  <si>
    <t>7,71,179.50</t>
  </si>
  <si>
    <t>2,66,199.00</t>
  </si>
  <si>
    <t>1,38,583.00</t>
  </si>
  <si>
    <t>14,11,348.00</t>
  </si>
  <si>
    <t>66,03,800.00</t>
  </si>
  <si>
    <t>2,15,850.50</t>
  </si>
  <si>
    <t>Karnafuli Cha Ghar</t>
  </si>
  <si>
    <t>2,04,385.00</t>
  </si>
  <si>
    <t>36,18,296.10</t>
  </si>
  <si>
    <t>1,09,670.00</t>
  </si>
  <si>
    <t>25,78,730.90</t>
  </si>
  <si>
    <t>4,04,450.50</t>
  </si>
  <si>
    <t>4,70,384.40</t>
  </si>
  <si>
    <t>2,62,211.00</t>
  </si>
  <si>
    <t>8,29,496.70</t>
  </si>
  <si>
    <t>Sham Tea Supply</t>
  </si>
  <si>
    <t>1,75,009.20</t>
  </si>
  <si>
    <t>4,64,103.50</t>
  </si>
  <si>
    <t>6,10,281.80</t>
  </si>
  <si>
    <t>13,32,982.50</t>
  </si>
  <si>
    <t>Vitalac Dairy &amp; Food Inds. Ltd.,</t>
  </si>
  <si>
    <t>1,45,901.00</t>
  </si>
  <si>
    <t>1,09,771.5</t>
  </si>
  <si>
    <t>1,39,861.5</t>
  </si>
  <si>
    <t>2,78,13,279.00</t>
  </si>
  <si>
    <t>Nasirabad, Chattogram.</t>
  </si>
  <si>
    <t>BISMILLAH TEA</t>
  </si>
  <si>
    <t>CHUNDEECHERRA</t>
  </si>
  <si>
    <t>CHUNDE A/C PARKUL</t>
  </si>
  <si>
    <t>DOLOI</t>
  </si>
  <si>
    <t>FABIHA</t>
  </si>
  <si>
    <t>JUNGLEBARI</t>
  </si>
  <si>
    <t>KAIYACHERRA DALU</t>
  </si>
  <si>
    <t>KARNOJHARA AGRO LTD.</t>
  </si>
  <si>
    <t>KHADIM</t>
  </si>
  <si>
    <t>LUAYUNI &amp; HOLICHERRA</t>
  </si>
  <si>
    <t>MADABPORE</t>
  </si>
  <si>
    <t>MALNICHERRA</t>
  </si>
  <si>
    <t>MIRZAPORE</t>
  </si>
  <si>
    <t>MOLY TEA FACTORY</t>
  </si>
  <si>
    <t>MORGEN TEA INDS.</t>
  </si>
  <si>
    <t>MOULVI</t>
  </si>
  <si>
    <t>NEW SAMANBAGH</t>
  </si>
  <si>
    <t>N.B.C.T.I.</t>
  </si>
  <si>
    <t>NAHEED</t>
  </si>
  <si>
    <t>PATRAKHOLA</t>
  </si>
  <si>
    <t>POPULAR TEA FACTORY</t>
  </si>
  <si>
    <t>RAJNAGAR</t>
  </si>
  <si>
    <t>ROYAL TEA FACTORY</t>
  </si>
  <si>
    <t>SAZEDA RAFIQUE TEA FACTORY</t>
  </si>
  <si>
    <t>SURMA</t>
  </si>
  <si>
    <t>SURMA &amp; PURNIMA TEA CO. LTD.,</t>
  </si>
  <si>
    <t>TALMA TEA INDS.</t>
  </si>
  <si>
    <t>TOTAL:</t>
  </si>
  <si>
    <t>2022-2023 OLD SEASON</t>
  </si>
  <si>
    <t>Qty.(Kilo.)</t>
  </si>
  <si>
    <t>Av.Pr.</t>
  </si>
  <si>
    <t>GRAND TOTAL:</t>
  </si>
  <si>
    <t>Ref: PBL/114/06/2023</t>
  </si>
  <si>
    <t>Buyers Purchase Statement of Sale No. 06 (2023-2024) Season held on 29th May, 2023</t>
  </si>
  <si>
    <t xml:space="preserve">         Date : 04/06/2023</t>
  </si>
  <si>
    <t>GARDEN (2023-2024) SEASON</t>
  </si>
  <si>
    <t>PREMNAGAR</t>
  </si>
  <si>
    <t>TELIAPARA</t>
  </si>
  <si>
    <t>Sale No. 06</t>
  </si>
  <si>
    <t>Upto Sale No. 06</t>
  </si>
  <si>
    <t>Auction Average of Sale No. 06 held on 29th May, 2023</t>
  </si>
  <si>
    <t>A. R. Traders</t>
  </si>
  <si>
    <t>A.R.L. Tea House</t>
  </si>
  <si>
    <t>19,89,049.00</t>
  </si>
  <si>
    <t>36,40,620.50</t>
  </si>
  <si>
    <t>Aftab Tea Traders (Aftab Tea Co.</t>
  </si>
  <si>
    <t>1,05,183.50</t>
  </si>
  <si>
    <t>2,75,895.50</t>
  </si>
  <si>
    <t>3,35,206.50</t>
  </si>
  <si>
    <t>6,70,214.30</t>
  </si>
  <si>
    <t>4,98,500.00</t>
  </si>
  <si>
    <t>1,91,424.00</t>
  </si>
  <si>
    <t>Hoque Tea &amp; Trading</t>
  </si>
  <si>
    <t>1,40,964.50</t>
  </si>
  <si>
    <t>2,80,850.50</t>
  </si>
  <si>
    <t>18,73,777.20</t>
  </si>
  <si>
    <t>1,88,433.00</t>
  </si>
  <si>
    <t>1,00,38,262.30</t>
  </si>
  <si>
    <t>4,57,643.40</t>
  </si>
  <si>
    <t>1,24,625.00</t>
  </si>
  <si>
    <t>3,40,736.20</t>
  </si>
  <si>
    <t>3,27,736.00</t>
  </si>
  <si>
    <t>13,93,841.10</t>
  </si>
  <si>
    <t>2,44,265.00</t>
  </si>
  <si>
    <t>22,83,005.80</t>
  </si>
  <si>
    <t>Millenium Tea Traders</t>
  </si>
  <si>
    <t>1,17,147.50</t>
  </si>
  <si>
    <t>Neshat Marketing Enterprise</t>
  </si>
  <si>
    <t>2,87,136.00</t>
  </si>
  <si>
    <t>2,04,061.60</t>
  </si>
  <si>
    <t>Purbasa Tea House</t>
  </si>
  <si>
    <t>1,42,419.20</t>
  </si>
  <si>
    <t>4,54,746.50</t>
  </si>
  <si>
    <t>2,54,538.50</t>
  </si>
  <si>
    <t>13,08,036.70</t>
  </si>
  <si>
    <t>3,99,591.50</t>
  </si>
  <si>
    <t>1,29,111.50</t>
  </si>
  <si>
    <t>3,13,060.40</t>
  </si>
  <si>
    <t>13,17,323.30</t>
  </si>
  <si>
    <t>2,63,706.50</t>
  </si>
  <si>
    <t>7,34,475.50</t>
  </si>
  <si>
    <t>1,24,067.5</t>
  </si>
  <si>
    <t>1,59,196.7</t>
  </si>
  <si>
    <t>3,18,40,696.40</t>
  </si>
  <si>
    <t>Ref: PBL/114/04(47)sree/2023</t>
  </si>
  <si>
    <t>Buyers Purchase Statement of Sale No. 04 (sree) (2023-2024) Season held on 31st May, 2023</t>
  </si>
  <si>
    <t>1,28,114.50</t>
  </si>
  <si>
    <t>1,27,117.50</t>
  </si>
  <si>
    <t>4,89,028.50</t>
  </si>
  <si>
    <t>3,58,920.00</t>
  </si>
  <si>
    <t>8,64,897.50</t>
  </si>
  <si>
    <t>1,14,655.00</t>
  </si>
  <si>
    <t>24,12,740.00</t>
  </si>
  <si>
    <t>Ref: PBL/114/07/2023</t>
  </si>
  <si>
    <t>Buyers Purchase Statement of Sale No. 07 (2023-2024) Season held on 6th June, 2023</t>
  </si>
  <si>
    <t>6,79,455.50</t>
  </si>
  <si>
    <t>23,13,959.80</t>
  </si>
  <si>
    <t>12,32,421.90</t>
  </si>
  <si>
    <t>3,95,366.40</t>
  </si>
  <si>
    <t>2,50,464.50</t>
  </si>
  <si>
    <t>67,17,262.10</t>
  </si>
  <si>
    <t>2,29,638.50</t>
  </si>
  <si>
    <t>3,46,956.00</t>
  </si>
  <si>
    <t>1,32,424.50</t>
  </si>
  <si>
    <t>1,85,340.50</t>
  </si>
  <si>
    <t>8,29,249.80</t>
  </si>
  <si>
    <t>3,21,034.00</t>
  </si>
  <si>
    <t>14,50,967.60</t>
  </si>
  <si>
    <t>2,38,228.50</t>
  </si>
  <si>
    <t>7,27,228.80</t>
  </si>
  <si>
    <t>2,51,742.50</t>
  </si>
  <si>
    <t>2,29,264.00</t>
  </si>
  <si>
    <t>5,85,680.50</t>
  </si>
  <si>
    <t>1,93,418.00</t>
  </si>
  <si>
    <t>1,25,622.00</t>
  </si>
  <si>
    <t>9,35,957.70</t>
  </si>
  <si>
    <t>6,72,874.20</t>
  </si>
  <si>
    <t>1,01,424.40</t>
  </si>
  <si>
    <t>Uttara Cha Company</t>
  </si>
  <si>
    <t>1,45,562.00</t>
  </si>
  <si>
    <t>1,30,256.4</t>
  </si>
  <si>
    <t>2,32,04,222.90</t>
  </si>
  <si>
    <t>Ref: PBL/114/08/2023</t>
  </si>
  <si>
    <t>Buyers Purchase Statement of Sale No. 08 (2023-2024) Season held on 12th June, 2023</t>
  </si>
  <si>
    <t>37,12,637.50</t>
  </si>
  <si>
    <t>2,38,283.00</t>
  </si>
  <si>
    <t>2,11,392.00</t>
  </si>
  <si>
    <t>2,52,739.50</t>
  </si>
  <si>
    <t>1,58,523.00</t>
  </si>
  <si>
    <t>7,39,275.50</t>
  </si>
  <si>
    <t>1,54,745.00</t>
  </si>
  <si>
    <t>3,35,039.00</t>
  </si>
  <si>
    <t>19,70,310.80</t>
  </si>
  <si>
    <t>64,92,511.50</t>
  </si>
  <si>
    <t>1,35,093.50</t>
  </si>
  <si>
    <t>6,21,260.20</t>
  </si>
  <si>
    <t>4,22,364.60</t>
  </si>
  <si>
    <t>2,67,449.50</t>
  </si>
  <si>
    <t>9,77,872.70</t>
  </si>
  <si>
    <t>7,23,670.70</t>
  </si>
  <si>
    <t>1,32,188.50</t>
  </si>
  <si>
    <t>5,58,881.90</t>
  </si>
  <si>
    <t>6,38,033.00</t>
  </si>
  <si>
    <t>1,07,161.50</t>
  </si>
  <si>
    <t>1,22,274.4</t>
  </si>
  <si>
    <t>2,26,79,249.90</t>
  </si>
  <si>
    <t>Ref: PBL/114/09/2023</t>
  </si>
  <si>
    <t>Date : 25/06/2023</t>
  </si>
  <si>
    <t>Date : 18/06/2023</t>
  </si>
  <si>
    <t>Date : 11/06/2023</t>
  </si>
  <si>
    <t>Date : 04/06/2023</t>
  </si>
  <si>
    <t>Date: 04/06/2023</t>
  </si>
  <si>
    <t>Buyers Purchase Statement of Sale No. 09 (2023-2024) Season held on 19th June, 2023</t>
  </si>
  <si>
    <t>35,82,698.60</t>
  </si>
  <si>
    <t>1,27,616.00</t>
  </si>
  <si>
    <t>6,17,605.50</t>
  </si>
  <si>
    <t>1,02,835.20</t>
  </si>
  <si>
    <t>5,13,690.50</t>
  </si>
  <si>
    <t>1,23,129.50</t>
  </si>
  <si>
    <t>5,32,896.50</t>
  </si>
  <si>
    <t>4,08,707.50</t>
  </si>
  <si>
    <t>Hossain Tea Agency</t>
  </si>
  <si>
    <t>2,62,368.50</t>
  </si>
  <si>
    <t>5,90,581.80</t>
  </si>
  <si>
    <t>91,83,617.00</t>
  </si>
  <si>
    <t>3,78,058.00</t>
  </si>
  <si>
    <t>4,02,874.00</t>
  </si>
  <si>
    <t>2,72,801.50</t>
  </si>
  <si>
    <t>Kanack Tea &amp; Trading Agency</t>
  </si>
  <si>
    <t>1,37,779.20</t>
  </si>
  <si>
    <t>17,56,289.80</t>
  </si>
  <si>
    <t>20,17,715.50</t>
  </si>
  <si>
    <t>1,40,577.00</t>
  </si>
  <si>
    <t>2,57,936.00</t>
  </si>
  <si>
    <t>1,44,565.00</t>
  </si>
  <si>
    <t>3,57,518.00</t>
  </si>
  <si>
    <t>4,76,287.50</t>
  </si>
  <si>
    <t>1,34,595.00</t>
  </si>
  <si>
    <t>4,75,516.40</t>
  </si>
  <si>
    <t>6,11,380.20</t>
  </si>
  <si>
    <t>1,42,571.00</t>
  </si>
  <si>
    <t>1,08,187.5</t>
  </si>
  <si>
    <t>1,35,884.3</t>
  </si>
  <si>
    <t>2,63,20,848.80</t>
  </si>
  <si>
    <t>Buyer's Name (EXPORT)</t>
  </si>
  <si>
    <t>Buyer's Name (INTERNAL)</t>
  </si>
  <si>
    <t>Ref: PBL/114/10/2023</t>
  </si>
  <si>
    <t>Date : 09/07/2023</t>
  </si>
  <si>
    <t>Buyers Purchase Statement of Sale No. 10 (2023-2024) Season held on 26th June, 2023</t>
  </si>
  <si>
    <t>Nil</t>
  </si>
  <si>
    <t>25,30,509.10</t>
  </si>
  <si>
    <t>1,78,143.00</t>
  </si>
  <si>
    <t>Al-Amin Tea Centre</t>
  </si>
  <si>
    <t>1,27,296.00</t>
  </si>
  <si>
    <t>Arif Tea Co. Ltd.,</t>
  </si>
  <si>
    <t>2,19,340.00</t>
  </si>
  <si>
    <t>1,12,162.50</t>
  </si>
  <si>
    <t>2,43,396.00</t>
  </si>
  <si>
    <t>Ekaterra Bangladesh Ltd.,</t>
  </si>
  <si>
    <t>8,32,475.50</t>
  </si>
  <si>
    <t>1,84,338.00</t>
  </si>
  <si>
    <t>5,02,313.00</t>
  </si>
  <si>
    <t>8,94,306.50</t>
  </si>
  <si>
    <t>26,01,865.40</t>
  </si>
  <si>
    <t>57,58,226.70</t>
  </si>
  <si>
    <t>1,24,999.50</t>
  </si>
  <si>
    <t>19,51,200.50</t>
  </si>
  <si>
    <t>9,72,256.20</t>
  </si>
  <si>
    <t>4,61,280.90</t>
  </si>
  <si>
    <t>1,06,828.80</t>
  </si>
  <si>
    <t>1,36,589.00</t>
  </si>
  <si>
    <t>14,36,665.20</t>
  </si>
  <si>
    <t>Sporsha Agro Chemical &amp; C/Pdts</t>
  </si>
  <si>
    <t>Umama Tea Supply</t>
  </si>
  <si>
    <t>1,12,399.1</t>
  </si>
  <si>
    <t>2,31,58,058.20</t>
  </si>
  <si>
    <t>Ref: PBL/114/11/2023</t>
  </si>
  <si>
    <t>Date : 16/07/2023</t>
  </si>
  <si>
    <t>Buyers Purchase Statement of Sale No. 11 (2023-2024) Season held on 10th July, 2023</t>
  </si>
  <si>
    <t>1,24,62,808.80</t>
  </si>
  <si>
    <t>Afroz Tea</t>
  </si>
  <si>
    <t>2,98,697.00</t>
  </si>
  <si>
    <t>15,46,945.70</t>
  </si>
  <si>
    <t>2,56,184.40</t>
  </si>
  <si>
    <t>3,01,679.00</t>
  </si>
  <si>
    <t>12,72,964.50</t>
  </si>
  <si>
    <t>16,19,630.50</t>
  </si>
  <si>
    <t>1,19,280.00</t>
  </si>
  <si>
    <t>1,73,326.00</t>
  </si>
  <si>
    <t>3,27,430.00</t>
  </si>
  <si>
    <t>10,02,965.00</t>
  </si>
  <si>
    <t>6,48,574.50</t>
  </si>
  <si>
    <t>1,25,34,262.00</t>
  </si>
  <si>
    <t>12,01,811.90</t>
  </si>
  <si>
    <t>1,02,691.00</t>
  </si>
  <si>
    <t>1,22,949.50</t>
  </si>
  <si>
    <t>18,81,379.50</t>
  </si>
  <si>
    <t>1,42,072.50</t>
  </si>
  <si>
    <t>38,48,172.90</t>
  </si>
  <si>
    <t>1,31,796.00</t>
  </si>
  <si>
    <t>1,19,640.00</t>
  </si>
  <si>
    <t>8,81,624.40</t>
  </si>
  <si>
    <t>2,45,016.80</t>
  </si>
  <si>
    <t>12,19,700.00</t>
  </si>
  <si>
    <t>1,94,617.50</t>
  </si>
  <si>
    <t>9,13,082.00</t>
  </si>
  <si>
    <t>3,58,146.00</t>
  </si>
  <si>
    <t>1,85,400.00</t>
  </si>
  <si>
    <t>5,51,711.60</t>
  </si>
  <si>
    <t>2,57,041.20</t>
  </si>
  <si>
    <t>4,18,655.00</t>
  </si>
  <si>
    <t>6,80,696.50</t>
  </si>
  <si>
    <t>14,50,549.60</t>
  </si>
  <si>
    <t>Sultana Traders</t>
  </si>
  <si>
    <t>1,21,268.00</t>
  </si>
  <si>
    <t>6,46,053.00</t>
  </si>
  <si>
    <t>1,22,262.00</t>
  </si>
  <si>
    <t>2,32,121.5</t>
  </si>
  <si>
    <t>2,89,689.9</t>
  </si>
  <si>
    <t>5,32,71,994.00</t>
  </si>
  <si>
    <t>Ref: PBL/114/12/2023</t>
  </si>
  <si>
    <t>Date : 23/07/2023</t>
  </si>
  <si>
    <t>Buyers Purchase Statement of Sale No. 12 (2023-2024) Season held on 17th July, 2023</t>
  </si>
  <si>
    <t>3,38,859.50</t>
  </si>
  <si>
    <t>Hussain Tea Store</t>
  </si>
  <si>
    <t>4,67,231.00</t>
  </si>
  <si>
    <t>2,68,270.00</t>
  </si>
  <si>
    <t>5,41,972.50</t>
  </si>
  <si>
    <t>2,54,881.20</t>
  </si>
  <si>
    <t>1,51,800.00</t>
  </si>
  <si>
    <t>2,18,343.00</t>
  </si>
  <si>
    <t>69,92,080.10</t>
  </si>
  <si>
    <t>2,62,779.00</t>
  </si>
  <si>
    <t>5,86,943.00</t>
  </si>
  <si>
    <t>1,42,500.00</t>
  </si>
  <si>
    <t>Tetley ACI (Bangladesh) Ltd.</t>
  </si>
  <si>
    <t>1,26,120.50</t>
  </si>
  <si>
    <t>4,86,841.50</t>
  </si>
  <si>
    <t>7,63,899.30</t>
  </si>
  <si>
    <t>6,52,369.80</t>
  </si>
  <si>
    <t>1,43,540.50</t>
  </si>
  <si>
    <t>2,83,309.20</t>
  </si>
  <si>
    <t>4,26,906.40</t>
  </si>
  <si>
    <t>1,60,500.00</t>
  </si>
  <si>
    <t>Prime Tea House</t>
  </si>
  <si>
    <t>1,09,07,159.50</t>
  </si>
  <si>
    <t>2,06,586.00</t>
  </si>
  <si>
    <t>1,16,18,109.90</t>
  </si>
  <si>
    <t>8,58,048.00</t>
  </si>
  <si>
    <t>4,30,565.50</t>
  </si>
  <si>
    <t>1,16,649.00</t>
  </si>
  <si>
    <t>10,54,683.50</t>
  </si>
  <si>
    <t>10,62,469.50</t>
  </si>
  <si>
    <t>14,09,453.10</t>
  </si>
  <si>
    <t>2,27,158.00</t>
  </si>
  <si>
    <t>ACME Consumer Products Ltd.,</t>
  </si>
  <si>
    <t>10,48,045.40</t>
  </si>
  <si>
    <t>3,32,517.00</t>
  </si>
  <si>
    <t>1,05,000.00</t>
  </si>
  <si>
    <t>1,35,109.00</t>
  </si>
  <si>
    <t>16,47,387.00</t>
  </si>
  <si>
    <t>The Consolidated Tea &amp; Lands Co</t>
  </si>
  <si>
    <t>1,58,348.00</t>
  </si>
  <si>
    <t>3,39,868.50</t>
  </si>
  <si>
    <t>2,41,119.00</t>
  </si>
  <si>
    <t>4,24,609.00</t>
  </si>
  <si>
    <t>3,15,518.00</t>
  </si>
  <si>
    <t>1,07,676.00</t>
  </si>
  <si>
    <t>4,89,935.70</t>
  </si>
  <si>
    <t>2,01,368.0</t>
  </si>
  <si>
    <t>2,38,449.9</t>
  </si>
  <si>
    <t>4,72,84,971.60</t>
  </si>
  <si>
    <t>Ref: PBL/114/13/2023</t>
  </si>
  <si>
    <t>Date : 30/07/2023</t>
  </si>
  <si>
    <t>Buyers Purchase Statement of Sale No. 13 (2023-2024) Season held on 24th July, 2023</t>
  </si>
  <si>
    <t>1,86,98,994.40</t>
  </si>
  <si>
    <t>3,69,317.50</t>
  </si>
  <si>
    <t>9,42,148.40</t>
  </si>
  <si>
    <t>5,21,850.00</t>
  </si>
  <si>
    <t>1,32,734.00</t>
  </si>
  <si>
    <t>6,13,091.50</t>
  </si>
  <si>
    <t>3,08,702.50</t>
  </si>
  <si>
    <t>1,31,280.00</t>
  </si>
  <si>
    <t>3,44,448.00</t>
  </si>
  <si>
    <t>37,55,590.00</t>
  </si>
  <si>
    <t>3,18,515.50</t>
  </si>
  <si>
    <t>11,26,717.00</t>
  </si>
  <si>
    <t>23,26,411.10</t>
  </si>
  <si>
    <t>6,07,472.00</t>
  </si>
  <si>
    <t>1,45,37,925.70</t>
  </si>
  <si>
    <t>6,18,812.90</t>
  </si>
  <si>
    <t>1,90,800.00</t>
  </si>
  <si>
    <t>5,41,070.00</t>
  </si>
  <si>
    <t>1,21,765.00</t>
  </si>
  <si>
    <t>2,80,277.30</t>
  </si>
  <si>
    <t>24,57,028.40</t>
  </si>
  <si>
    <t>M.S. Food and Beverage</t>
  </si>
  <si>
    <t>1,95,706.00</t>
  </si>
  <si>
    <t>2,76,725.00</t>
  </si>
  <si>
    <t>3,37,072.50</t>
  </si>
  <si>
    <t>50,80,349.10</t>
  </si>
  <si>
    <t>1,37,500.00</t>
  </si>
  <si>
    <t>8,18,300.10</t>
  </si>
  <si>
    <t>1,64,000.00</t>
  </si>
  <si>
    <t>1,22,815.50</t>
  </si>
  <si>
    <t>6,96,031.50</t>
  </si>
  <si>
    <t>6,00,203.90</t>
  </si>
  <si>
    <t>1,82,949.50</t>
  </si>
  <si>
    <t>1,03,833.00</t>
  </si>
  <si>
    <t>2,58,300.00</t>
  </si>
  <si>
    <t>6,05,192.50</t>
  </si>
  <si>
    <t>4,60,639.30</t>
  </si>
  <si>
    <t>3,20,140.50</t>
  </si>
  <si>
    <t>1,43,500.00</t>
  </si>
  <si>
    <t>Ref: PBL/114/14/2023</t>
  </si>
  <si>
    <t>Date : 06/08/2023</t>
  </si>
  <si>
    <t>Buyers Purchase Statement of Sale No. 14 (2023-2024) Season held on 31st July, 2023</t>
  </si>
  <si>
    <t>1,08,11,055.10</t>
  </si>
  <si>
    <t>8,25,108.30</t>
  </si>
  <si>
    <t>1,80,000.00</t>
  </si>
  <si>
    <t>1,72,777.50</t>
  </si>
  <si>
    <t>7,70,449.60</t>
  </si>
  <si>
    <t>7,94,009.50</t>
  </si>
  <si>
    <t>Barnali Tea  Traders</t>
  </si>
  <si>
    <t>1,72,224.00</t>
  </si>
  <si>
    <t>36,08,075.00</t>
  </si>
  <si>
    <t>2,73,654.50</t>
  </si>
  <si>
    <t>8,20,238.00</t>
  </si>
  <si>
    <t>3,42,451.20</t>
  </si>
  <si>
    <t>1,65,502.00</t>
  </si>
  <si>
    <t>1,30,97,552.00</t>
  </si>
  <si>
    <t>Jamal Tea House</t>
  </si>
  <si>
    <t>1,74,041.50</t>
  </si>
  <si>
    <t>11,30,133.90</t>
  </si>
  <si>
    <t>8,79,465.00</t>
  </si>
  <si>
    <t>1,30,903.00</t>
  </si>
  <si>
    <t>1,85,061.00</t>
  </si>
  <si>
    <t>5,92,989.50</t>
  </si>
  <si>
    <t>2,78,500.00</t>
  </si>
  <si>
    <t>25,47,686.80</t>
  </si>
  <si>
    <t>1,02,192.50</t>
  </si>
  <si>
    <t>2,19,216.80</t>
  </si>
  <si>
    <t>3,04,236.80</t>
  </si>
  <si>
    <t>1,54,036.50</t>
  </si>
  <si>
    <t>1,73,250.00</t>
  </si>
  <si>
    <t>S. Alif Tea Supply</t>
  </si>
  <si>
    <t>2,81,392.80</t>
  </si>
  <si>
    <t>2,91,033.60</t>
  </si>
  <si>
    <t>1,20,806.40</t>
  </si>
  <si>
    <t>7,26,736.50</t>
  </si>
  <si>
    <t>11,32,227.30</t>
  </si>
  <si>
    <t>1,49,600.00</t>
  </si>
  <si>
    <t>6,16,583.50</t>
  </si>
  <si>
    <t>2,99,415.50</t>
  </si>
  <si>
    <t>1,80,460.0</t>
  </si>
  <si>
    <t>2,20,542.8</t>
  </si>
  <si>
    <t>4,40,56,497.60</t>
  </si>
  <si>
    <t>Buyers Purchase Statement of Sale No. 08 (Sreenongal) (2023-2024) Season held on 2nd August, 2023</t>
  </si>
  <si>
    <t>5,49,395.00</t>
  </si>
  <si>
    <t>5,59,520.00</t>
  </si>
  <si>
    <t>6,59,088.50</t>
  </si>
  <si>
    <t>3,62,724.00</t>
  </si>
  <si>
    <t>3,31,396.00</t>
  </si>
  <si>
    <t>1,07,500.00</t>
  </si>
  <si>
    <t>27,30,123.50</t>
  </si>
  <si>
    <t>Ref: PBL/114/15/2023</t>
  </si>
  <si>
    <t>Date : 13/08/2023</t>
  </si>
  <si>
    <t>Buyers Purchase Statement of Sale No. 15 (2023-2024) Season held on 7th August, 2023</t>
  </si>
  <si>
    <t>62,81,757.90</t>
  </si>
  <si>
    <t>4,51,573.00</t>
  </si>
  <si>
    <t>5,60,102.50</t>
  </si>
  <si>
    <t>14,74,473.50</t>
  </si>
  <si>
    <t>3,73,479.50</t>
  </si>
  <si>
    <t>6,61,012.00</t>
  </si>
  <si>
    <t>3,29,550.00</t>
  </si>
  <si>
    <t>5,39,292.00</t>
  </si>
  <si>
    <t>79,64,462.30</t>
  </si>
  <si>
    <t>1,57,404.50</t>
  </si>
  <si>
    <t>4,66,583.00</t>
  </si>
  <si>
    <t>5,70,477.60</t>
  </si>
  <si>
    <t>1,04,685.00</t>
  </si>
  <si>
    <t>7,17,600.00</t>
  </si>
  <si>
    <t>3,15,247.00</t>
  </si>
  <si>
    <t>16,19,901.00</t>
  </si>
  <si>
    <t>1,31,000.00</t>
  </si>
  <si>
    <t>2,11,161.60</t>
  </si>
  <si>
    <t>1,24,924.00</t>
  </si>
  <si>
    <t>3,05,281.50</t>
  </si>
  <si>
    <t>2,74,538.00</t>
  </si>
  <si>
    <t>5,40,898.50</t>
  </si>
  <si>
    <t>3,27,000.00</t>
  </si>
  <si>
    <t>9,48,123.50</t>
  </si>
  <si>
    <t>20,97,484.50</t>
  </si>
  <si>
    <t>2,33,126.40</t>
  </si>
  <si>
    <t>2,30,307.00</t>
  </si>
  <si>
    <t>3,32,966.40</t>
  </si>
  <si>
    <t>1,27,125.0</t>
  </si>
  <si>
    <t>1,51,530.6</t>
  </si>
  <si>
    <t>2,90,91,877.70</t>
  </si>
  <si>
    <t>Ref: PBL/114/16/2023</t>
  </si>
  <si>
    <t>Buyers Purchase Statement of Sale No. 16 (2023-2024) Season held on 14th August, 2023</t>
  </si>
  <si>
    <t>2,99,700.00</t>
  </si>
  <si>
    <t>77,73,621.30</t>
  </si>
  <si>
    <t>9,37,456.00</t>
  </si>
  <si>
    <t>4,35,557.50</t>
  </si>
  <si>
    <t>Barnali Tea &amp; Trading</t>
  </si>
  <si>
    <t>1,36,864.80</t>
  </si>
  <si>
    <t>3,13,497.60</t>
  </si>
  <si>
    <t>1,19,141.50</t>
  </si>
  <si>
    <t>25,96,607.00</t>
  </si>
  <si>
    <t>12,35,455.00</t>
  </si>
  <si>
    <t>5,50,661.00</t>
  </si>
  <si>
    <t>1,80,820.00</t>
  </si>
  <si>
    <t>10,90,410.20</t>
  </si>
  <si>
    <t>90,04,653.50</t>
  </si>
  <si>
    <t>4,20,017.00</t>
  </si>
  <si>
    <t>2,07,376.00</t>
  </si>
  <si>
    <t>1,76,820.00</t>
  </si>
  <si>
    <t>18,60,265.60</t>
  </si>
  <si>
    <t>8,41,578.00</t>
  </si>
  <si>
    <t>13,85,769.80</t>
  </si>
  <si>
    <t>2,25,840.00</t>
  </si>
  <si>
    <t>3,24,123.70</t>
  </si>
  <si>
    <t>5,77,003.20</t>
  </si>
  <si>
    <t>3,25,151.60</t>
  </si>
  <si>
    <t>4,24,040.00</t>
  </si>
  <si>
    <t>2,72,997.50</t>
  </si>
  <si>
    <t>8,12,056.50</t>
  </si>
  <si>
    <t>3,50,649.00</t>
  </si>
  <si>
    <t>3,44,045.50</t>
  </si>
  <si>
    <t>2,88,223.20</t>
  </si>
  <si>
    <t>1,53,500.00</t>
  </si>
  <si>
    <t>1,47,622.0</t>
  </si>
  <si>
    <t>1,76,221.2</t>
  </si>
  <si>
    <t>3,41,91,597.20</t>
  </si>
  <si>
    <t>Date : 20/08/2023</t>
  </si>
  <si>
    <t>Ref: PBL/114/17/2023</t>
  </si>
  <si>
    <t>Date : 27/08/2023</t>
  </si>
  <si>
    <t>Buyers Purchase Statement of Sale No. 17 (2023-2024) Season held on 21st August, 2023</t>
  </si>
  <si>
    <t>49,87,636.00</t>
  </si>
  <si>
    <t>10,04,108.00</t>
  </si>
  <si>
    <t>7,73,232.50</t>
  </si>
  <si>
    <t>2,08,568.00</t>
  </si>
  <si>
    <t>1,52,042.50</t>
  </si>
  <si>
    <t>3,17,682.00</t>
  </si>
  <si>
    <t>Ibrahim Tea</t>
  </si>
  <si>
    <t>1,49,550.00</t>
  </si>
  <si>
    <t>16,03,082.20</t>
  </si>
  <si>
    <t>1,09,171.50</t>
  </si>
  <si>
    <t>3,24,087.50</t>
  </si>
  <si>
    <t>5,19,054.70</t>
  </si>
  <si>
    <t>1,30,607.00</t>
  </si>
  <si>
    <t>2,94,572.50</t>
  </si>
  <si>
    <t>2,54,092.80</t>
  </si>
  <si>
    <t>4,76,736.00</t>
  </si>
  <si>
    <t>1,71,225.60</t>
  </si>
  <si>
    <t>1,74,973.50</t>
  </si>
  <si>
    <t>1,24,52,281.50</t>
  </si>
  <si>
    <t>Ref: PBL/114/19/2023</t>
  </si>
  <si>
    <t>Date : 10/09/2023</t>
  </si>
  <si>
    <t>Buyers Purchase Statement of Sale No. 19 (2023-2024) Season held on 4th September, 2023</t>
  </si>
  <si>
    <t>9,62,137.00</t>
  </si>
  <si>
    <t>66,84,214.10</t>
  </si>
  <si>
    <t>1,20,307.20</t>
  </si>
  <si>
    <t>8,68,490.00</t>
  </si>
  <si>
    <t>1,39,081.50</t>
  </si>
  <si>
    <t>3,92,376.00</t>
  </si>
  <si>
    <t>8,21,145.40</t>
  </si>
  <si>
    <t>5,50,344.00</t>
  </si>
  <si>
    <t>8,34,693.50</t>
  </si>
  <si>
    <t>15,63,083.50</t>
  </si>
  <si>
    <t>7,76,663.00</t>
  </si>
  <si>
    <t>2,72,166.50</t>
  </si>
  <si>
    <t>1,82,451.00</t>
  </si>
  <si>
    <t>6,66,767.00</t>
  </si>
  <si>
    <t>8,05,884.00</t>
  </si>
  <si>
    <t>80,88,678.40</t>
  </si>
  <si>
    <t>2,57,813.00</t>
  </si>
  <si>
    <t>4,49,250.00</t>
  </si>
  <si>
    <t>3,65,400.50</t>
  </si>
  <si>
    <t>3,44,904.00</t>
  </si>
  <si>
    <t>6,31,025.20</t>
  </si>
  <si>
    <t>1,75,372.50</t>
  </si>
  <si>
    <t>4,67,790.00</t>
  </si>
  <si>
    <t>26,56,792.90</t>
  </si>
  <si>
    <t>3,03,165.50</t>
  </si>
  <si>
    <t>20,82,882.60</t>
  </si>
  <si>
    <t>1,87,531.00</t>
  </si>
  <si>
    <t>3,82,758.50</t>
  </si>
  <si>
    <t>14,01,535.50</t>
  </si>
  <si>
    <t>1,30,622.40</t>
  </si>
  <si>
    <t>1,39,805.00</t>
  </si>
  <si>
    <t>8,12,867.50</t>
  </si>
  <si>
    <t>2,67,803.50</t>
  </si>
  <si>
    <t>1,60,355.00</t>
  </si>
  <si>
    <t>10,20,805.20</t>
  </si>
  <si>
    <t>1,87,934.50</t>
  </si>
  <si>
    <t>2,78,933.00</t>
  </si>
  <si>
    <t>9,70,828.80</t>
  </si>
  <si>
    <t>2,15,676.00</t>
  </si>
  <si>
    <t>4,51,487.00</t>
  </si>
  <si>
    <t>11,53,918.50</t>
  </si>
  <si>
    <t>3,03,174.50</t>
  </si>
  <si>
    <t>2,55,652.5</t>
  </si>
  <si>
    <t>2,88,589.4</t>
  </si>
  <si>
    <t>4,65,06,131.00</t>
  </si>
  <si>
    <t>Ref: PBL/114/18/2023</t>
  </si>
  <si>
    <t>Date : 3/9/2023</t>
  </si>
  <si>
    <t>Buyers Purchase Statement of Sale No. 18 (2023-2024) Season held on 28th August, 2023</t>
  </si>
  <si>
    <t>96,48,650.50</t>
  </si>
  <si>
    <t>9,82,800.90</t>
  </si>
  <si>
    <t>1,32,500.00</t>
  </si>
  <si>
    <t>7,37,344.50</t>
  </si>
  <si>
    <t>9,23,850.00</t>
  </si>
  <si>
    <t>11,71,981.00</t>
  </si>
  <si>
    <t>1,85,702.40</t>
  </si>
  <si>
    <t>23,86,961.50</t>
  </si>
  <si>
    <t>2,91,569.50</t>
  </si>
  <si>
    <t>16,68,065.60</t>
  </si>
  <si>
    <t>13,24,209.50</t>
  </si>
  <si>
    <t>1,26,55,178.70</t>
  </si>
  <si>
    <t>1,58,678.40</t>
  </si>
  <si>
    <t>1,86,937.50</t>
  </si>
  <si>
    <t>8,50,116.20</t>
  </si>
  <si>
    <t>3,78,798.00</t>
  </si>
  <si>
    <t>Kazi Enterprise</t>
  </si>
  <si>
    <t>2,02,889.50</t>
  </si>
  <si>
    <t>9,07,975.10</t>
  </si>
  <si>
    <t>30,79,549.90</t>
  </si>
  <si>
    <t>4,72,311.80</t>
  </si>
  <si>
    <t>12,05,876.10</t>
  </si>
  <si>
    <t>6,41,923.10</t>
  </si>
  <si>
    <t>1,06,500.00</t>
  </si>
  <si>
    <t>5,96,427.50</t>
  </si>
  <si>
    <t>2,41,607.00</t>
  </si>
  <si>
    <t>5,69,356.00</t>
  </si>
  <si>
    <t>2,49,242.00</t>
  </si>
  <si>
    <t>6,25,491.50</t>
  </si>
  <si>
    <t>4,74,240.00</t>
  </si>
  <si>
    <t>1,48,054.50</t>
  </si>
  <si>
    <t>2,06,762.5</t>
  </si>
  <si>
    <t>2,48,692.6</t>
  </si>
  <si>
    <t>4,52,35,604.10</t>
  </si>
  <si>
    <t>Ref: PBL/114/20/2023</t>
  </si>
  <si>
    <t>Date : 17/09/2023</t>
  </si>
  <si>
    <t>Buyers Purchase Statement of Sale No. 20 (2023-2024) Season held on 11th September, 2023</t>
  </si>
  <si>
    <t>4,79,078.50</t>
  </si>
  <si>
    <t>1,10,20,213.20</t>
  </si>
  <si>
    <t>9,95,950.30</t>
  </si>
  <si>
    <t>6,93,567.00</t>
  </si>
  <si>
    <t>2,65,087.50</t>
  </si>
  <si>
    <t>5,50,229.80</t>
  </si>
  <si>
    <t>5,25,657.60</t>
  </si>
  <si>
    <t>20,34,249.50</t>
  </si>
  <si>
    <t>1,04,842.50</t>
  </si>
  <si>
    <t>Haque Tea House</t>
  </si>
  <si>
    <t>24,74,652.00</t>
  </si>
  <si>
    <t>20,53,801.50</t>
  </si>
  <si>
    <t>11,95,573.00</t>
  </si>
  <si>
    <t>90,13,500.40</t>
  </si>
  <si>
    <t>1,59,047.50</t>
  </si>
  <si>
    <t>5,58,385.10</t>
  </si>
  <si>
    <t>1,15,250.00</t>
  </si>
  <si>
    <t>6,67,800.90</t>
  </si>
  <si>
    <t>1,59,089.50</t>
  </si>
  <si>
    <t>Kazi Tea &amp; Trading</t>
  </si>
  <si>
    <t>4,09,409.00</t>
  </si>
  <si>
    <t>1,05,682.00</t>
  </si>
  <si>
    <t>13,78,646.90</t>
  </si>
  <si>
    <t>2,71,215.50</t>
  </si>
  <si>
    <t>19,94,499.60</t>
  </si>
  <si>
    <t>3,49,672.20</t>
  </si>
  <si>
    <t>2,81,250.00</t>
  </si>
  <si>
    <t>4,54,483.50</t>
  </si>
  <si>
    <t>7,74,399.70</t>
  </si>
  <si>
    <t>2,99,100.00</t>
  </si>
  <si>
    <t>6,66,034.20</t>
  </si>
  <si>
    <t>1,52,350.00</t>
  </si>
  <si>
    <t>3,41,951.00</t>
  </si>
  <si>
    <t>2,55,493.0</t>
  </si>
  <si>
    <t>2,94,570.1</t>
  </si>
  <si>
    <t>4,80,93,723.50</t>
  </si>
  <si>
    <t>Ref: PBL/114/21/2023</t>
  </si>
  <si>
    <t>Date : 24/09/2023</t>
  </si>
  <si>
    <t>Buyers Purchase Statement of Sale No. 21 (2023-2024) Season held on 18th September, 2023</t>
  </si>
  <si>
    <t>59,63,436.50</t>
  </si>
  <si>
    <t>2,59,275.00</t>
  </si>
  <si>
    <t>1,20,637.00</t>
  </si>
  <si>
    <t>5,18,680.00</t>
  </si>
  <si>
    <t>2,70,276.00</t>
  </si>
  <si>
    <t>3,53,796.80</t>
  </si>
  <si>
    <t>1,67,994.50</t>
  </si>
  <si>
    <t>1,14,827.50</t>
  </si>
  <si>
    <t>10,10,163.50</t>
  </si>
  <si>
    <t>3,03,220.50</t>
  </si>
  <si>
    <t>2,75,432.50</t>
  </si>
  <si>
    <t>1,50,444.00</t>
  </si>
  <si>
    <t>6,36,568.70</t>
  </si>
  <si>
    <t>3,21,532.50</t>
  </si>
  <si>
    <t>3,70,929.40</t>
  </si>
  <si>
    <t>73,03,534.50</t>
  </si>
  <si>
    <t>Kalam Tea House</t>
  </si>
  <si>
    <t>7,10,695.50</t>
  </si>
  <si>
    <t>2,58,879.00</t>
  </si>
  <si>
    <t>2,62,102.50</t>
  </si>
  <si>
    <t>2,47,683.50</t>
  </si>
  <si>
    <t>15,88,217.50</t>
  </si>
  <si>
    <t>4,42,203.50</t>
  </si>
  <si>
    <t>2,05,726.00</t>
  </si>
  <si>
    <t>1,34,784.00</t>
  </si>
  <si>
    <t>2,04,276.00</t>
  </si>
  <si>
    <t>1,22,631.00</t>
  </si>
  <si>
    <t>1,56,600.00</t>
  </si>
  <si>
    <t>1,76,423.00</t>
  </si>
  <si>
    <t>2,60,233.00</t>
  </si>
  <si>
    <t>1,08,174.50</t>
  </si>
  <si>
    <t>3,39,492.50</t>
  </si>
  <si>
    <t>5,01,543.00</t>
  </si>
  <si>
    <t>1,18,144.50</t>
  </si>
  <si>
    <t>5,51,434.20</t>
  </si>
  <si>
    <t>1,31,805.0</t>
  </si>
  <si>
    <t>1,52,979.5</t>
  </si>
  <si>
    <t>2,58,11,272.70</t>
  </si>
  <si>
    <t>Ref: PBL/114/22/2023</t>
  </si>
  <si>
    <t>Date : 01/10/2023</t>
  </si>
  <si>
    <t>Buyers Purchase Statement of Sale No. 22 (2023-2024) Season held on 25th September, 2023</t>
  </si>
  <si>
    <t>3,58,669.00</t>
  </si>
  <si>
    <t>66,58,171.10</t>
  </si>
  <si>
    <t>2,96,322.50</t>
  </si>
  <si>
    <t>2,49,043.00</t>
  </si>
  <si>
    <t>6,43,049.50</t>
  </si>
  <si>
    <t>2,98,404.80</t>
  </si>
  <si>
    <t>2,75,724.00</t>
  </si>
  <si>
    <t>7,70,826.50</t>
  </si>
  <si>
    <t>1,01,025.50</t>
  </si>
  <si>
    <t>9,93,095.50</t>
  </si>
  <si>
    <t>2,04,265.00</t>
  </si>
  <si>
    <t>1,11,69,648.70</t>
  </si>
  <si>
    <t>2,65,575.00</t>
  </si>
  <si>
    <t>3,17,823.90</t>
  </si>
  <si>
    <t>1,21,804.80</t>
  </si>
  <si>
    <t>3,25,520.50</t>
  </si>
  <si>
    <t>2,91,422.00</t>
  </si>
  <si>
    <t>27,69,706.00</t>
  </si>
  <si>
    <t>2,72,822.00</t>
  </si>
  <si>
    <t>7,28,983.20</t>
  </si>
  <si>
    <t>2,04,769.30</t>
  </si>
  <si>
    <t>4,95,728.50</t>
  </si>
  <si>
    <t>1,72,773.50</t>
  </si>
  <si>
    <t>2,30,659.50</t>
  </si>
  <si>
    <t>3,45,307.00</t>
  </si>
  <si>
    <t>2,28,811.50</t>
  </si>
  <si>
    <t>4,37,323.20</t>
  </si>
  <si>
    <t>1,46,144.0</t>
  </si>
  <si>
    <t>1,73,340.1</t>
  </si>
  <si>
    <t>3,04,08,306.10</t>
  </si>
  <si>
    <t>Ref: PBL/114/12(sree)/2023</t>
  </si>
  <si>
    <t>Buyers Purchase Statement of Sale No. 12 (sreemongal) (2023-2024) Season held on 27th September, 2023</t>
  </si>
  <si>
    <t>3,57,017.00</t>
  </si>
  <si>
    <t>2,32,500.00</t>
  </si>
  <si>
    <t>4,86,650.50</t>
  </si>
  <si>
    <t>8,83,934.00</t>
  </si>
  <si>
    <t>2,25,820.50</t>
  </si>
  <si>
    <t>3,18,784.50</t>
  </si>
  <si>
    <t>3,14,034.00</t>
  </si>
  <si>
    <t>30,22,339.00</t>
  </si>
  <si>
    <t>2,38,781.50</t>
  </si>
  <si>
    <t>30,45,815.50</t>
  </si>
  <si>
    <t>5,34,343.50</t>
  </si>
  <si>
    <t>1,26,910.10</t>
  </si>
  <si>
    <t>Alif Tea Supply</t>
  </si>
  <si>
    <t>2,56,990.00</t>
  </si>
  <si>
    <t>5,41,422.00</t>
  </si>
  <si>
    <t>1,84,600.00</t>
  </si>
  <si>
    <t>1,20,000.00</t>
  </si>
  <si>
    <t>10,28,996.20</t>
  </si>
  <si>
    <t>2,08,871.50</t>
  </si>
  <si>
    <t>27,20,344.60</t>
  </si>
  <si>
    <t>3,36,762.60</t>
  </si>
  <si>
    <t>3,29,472.50</t>
  </si>
  <si>
    <t>1,02,845.50</t>
  </si>
  <si>
    <t>15,22,676.60</t>
  </si>
  <si>
    <t>4,31,831.00</t>
  </si>
  <si>
    <t>1,64,285.50</t>
  </si>
  <si>
    <t>3,03,832.90</t>
  </si>
  <si>
    <t>3,25,962.00</t>
  </si>
  <si>
    <t>2,22,144.00</t>
  </si>
  <si>
    <t>2,30,500.00</t>
  </si>
  <si>
    <t>3,09,070.00</t>
  </si>
  <si>
    <t>1,19,460.00</t>
  </si>
  <si>
    <t>1,47,82,909.90</t>
  </si>
  <si>
    <t>Buyers Purchase Statement of Sale No. 23 (2023-2024) Season held on 2nd October, 2023</t>
  </si>
  <si>
    <t>Ref: PBL/114/24/2023</t>
  </si>
  <si>
    <t>Date : 15/10/2023</t>
  </si>
  <si>
    <t>Buyers Purchase Statement of Sale No. 24 (2023-2024) Season held on 9th October, 2023</t>
  </si>
  <si>
    <t>11,63,200.50</t>
  </si>
  <si>
    <t>3,06,481.00</t>
  </si>
  <si>
    <t>5,03,469.50</t>
  </si>
  <si>
    <t>1,33,286.40</t>
  </si>
  <si>
    <t>2,75,655.00</t>
  </si>
  <si>
    <t>1,41,294.50</t>
  </si>
  <si>
    <t>37,41,209.50</t>
  </si>
  <si>
    <t>Jamuna Tea Trading</t>
  </si>
  <si>
    <t>3,03,830.10</t>
  </si>
  <si>
    <t>4,91,250.40</t>
  </si>
  <si>
    <t>3,47,953.00</t>
  </si>
  <si>
    <t>New B. Baria Tea House</t>
  </si>
  <si>
    <t>1,57,185.00</t>
  </si>
  <si>
    <t>1,94,688.00</t>
  </si>
  <si>
    <t>8,49,249.10</t>
  </si>
  <si>
    <t>1,16,61,071.30</t>
  </si>
  <si>
    <t>Ref: PBL/114/25/2023</t>
  </si>
  <si>
    <t>Date : 22/10/2023</t>
  </si>
  <si>
    <t>Buyers Purchase Statement of Sale No. 25 (2023-2024) Season held on 16th October, 2023</t>
  </si>
  <si>
    <t>10,92,761.50</t>
  </si>
  <si>
    <t>94,12,471.90</t>
  </si>
  <si>
    <t>2,84,049.00</t>
  </si>
  <si>
    <t>11,83,420.30</t>
  </si>
  <si>
    <t>9,45,313.50</t>
  </si>
  <si>
    <t>3,02,589.50</t>
  </si>
  <si>
    <t>1,46,764.80</t>
  </si>
  <si>
    <t>7,21,616.00</t>
  </si>
  <si>
    <t>9,45,513.00</t>
  </si>
  <si>
    <t>Gaspir Enterprise &amp; Tea House</t>
  </si>
  <si>
    <t>3,63,071.10</t>
  </si>
  <si>
    <t>7,09,689.50</t>
  </si>
  <si>
    <t>4,20,200.00</t>
  </si>
  <si>
    <t>1,22,236.80</t>
  </si>
  <si>
    <t>1,05,770.40</t>
  </si>
  <si>
    <t>12,48,331.40</t>
  </si>
  <si>
    <t>1,20,15,725.40</t>
  </si>
  <si>
    <t>4,94,003.00</t>
  </si>
  <si>
    <t>1,89,490.00</t>
  </si>
  <si>
    <t>6,67,939.40</t>
  </si>
  <si>
    <t>2,68,036.00</t>
  </si>
  <si>
    <t>13,41,697.50</t>
  </si>
  <si>
    <t>6,85,550.50</t>
  </si>
  <si>
    <t>23,77,628.30</t>
  </si>
  <si>
    <t>1,32,234.00</t>
  </si>
  <si>
    <t>2,11,358.00</t>
  </si>
  <si>
    <t>3,79,506.80</t>
  </si>
  <si>
    <t>9,93,519.60</t>
  </si>
  <si>
    <t>7,06,053.00</t>
  </si>
  <si>
    <t>1,01,397.00</t>
  </si>
  <si>
    <t>S. R. Enterprise</t>
  </si>
  <si>
    <t>2,19,838.50</t>
  </si>
  <si>
    <t>1,08,750.00</t>
  </si>
  <si>
    <t>Samon Tea Traders</t>
  </si>
  <si>
    <t>8,45,955.40</t>
  </si>
  <si>
    <t>3,97,990.50</t>
  </si>
  <si>
    <t>3,25,946.50</t>
  </si>
  <si>
    <t>Sharif Traders</t>
  </si>
  <si>
    <t>12,99,475.50</t>
  </si>
  <si>
    <t>2,91,320.80</t>
  </si>
  <si>
    <t>1,17,900.00</t>
  </si>
  <si>
    <t>3,66,028.50</t>
  </si>
  <si>
    <t>2,80,051.20</t>
  </si>
  <si>
    <t>3,96,759.50</t>
  </si>
  <si>
    <t>2,73,496.5</t>
  </si>
  <si>
    <t>3,26,898.7</t>
  </si>
  <si>
    <t>4,75,49,623.20</t>
  </si>
  <si>
    <t>Ref: PBL/114/26/2023</t>
  </si>
  <si>
    <t>Date : 29/10/2023</t>
  </si>
  <si>
    <t>Buyers Purchase Statement of Sale No. 26 (2023-2024) Season held on 23rd October, 2023</t>
  </si>
  <si>
    <t>79,85,781.70</t>
  </si>
  <si>
    <t>1,60,245.00</t>
  </si>
  <si>
    <t>4,79,351.40</t>
  </si>
  <si>
    <t>2,74,536.50</t>
  </si>
  <si>
    <t>5,94,690.00</t>
  </si>
  <si>
    <t>1,36,780.80</t>
  </si>
  <si>
    <t>8,02,167.50</t>
  </si>
  <si>
    <t>25,46,075.50</t>
  </si>
  <si>
    <t>17,58,963.00</t>
  </si>
  <si>
    <t>10,26,852.50</t>
  </si>
  <si>
    <t>9,82,646.80</t>
  </si>
  <si>
    <t>1,64,68,025.80</t>
  </si>
  <si>
    <t>7,76,378.70</t>
  </si>
  <si>
    <t>7,78,795.50</t>
  </si>
  <si>
    <t>Kamal Tea &amp;  Trading (KTC)</t>
  </si>
  <si>
    <t>4,06,971.80</t>
  </si>
  <si>
    <t>10,77,168.60</t>
  </si>
  <si>
    <t>3,12,764.00</t>
  </si>
  <si>
    <t>37,10,927.90</t>
  </si>
  <si>
    <t>1,11,960.50</t>
  </si>
  <si>
    <t>4,81,913.00</t>
  </si>
  <si>
    <t>10,02,137.40</t>
  </si>
  <si>
    <t>5,74,037.00</t>
  </si>
  <si>
    <t>3,12,000.00</t>
  </si>
  <si>
    <t>Shakil Tea House</t>
  </si>
  <si>
    <t>5,32,768.00</t>
  </si>
  <si>
    <t>9,28,255.50</t>
  </si>
  <si>
    <t>3,60,725.00</t>
  </si>
  <si>
    <t>15,69,237.60</t>
  </si>
  <si>
    <t>1,93,400.00</t>
  </si>
  <si>
    <t>1,99,100.00</t>
  </si>
  <si>
    <t>Zahan Enterprise</t>
  </si>
  <si>
    <t>2,66,705.0</t>
  </si>
  <si>
    <t>3,19,139.6</t>
  </si>
  <si>
    <t>4,85,99,410.10</t>
  </si>
  <si>
    <t>Ref: PBL/114/27/2023</t>
  </si>
  <si>
    <t>Date : 05/11/2023</t>
  </si>
  <si>
    <t>Buyers Purchase Statement of Sale No. 27 (2023-2024) Season held on 30th October, 2023</t>
  </si>
  <si>
    <t>96,18,081.40</t>
  </si>
  <si>
    <t>1,32,382.00</t>
  </si>
  <si>
    <t>4,16,119.50</t>
  </si>
  <si>
    <t>14,10,057.50</t>
  </si>
  <si>
    <t>5,49,541.50</t>
  </si>
  <si>
    <t>10,61,592.00</t>
  </si>
  <si>
    <t>1,16,150.50</t>
  </si>
  <si>
    <t>13,97,399.50</t>
  </si>
  <si>
    <t>1,19,808.00</t>
  </si>
  <si>
    <t>7,55,081.70</t>
  </si>
  <si>
    <t>83,14,770.10</t>
  </si>
  <si>
    <t>2,71,789.20</t>
  </si>
  <si>
    <t>6,23,383.50</t>
  </si>
  <si>
    <t>3,52,806.00</t>
  </si>
  <si>
    <t>4,17,913.50</t>
  </si>
  <si>
    <t>3,39,352.00</t>
  </si>
  <si>
    <t>29,05,513.30</t>
  </si>
  <si>
    <t>1,87,312.50</t>
  </si>
  <si>
    <t>6,82,648.70</t>
  </si>
  <si>
    <t>1,08,347.00</t>
  </si>
  <si>
    <t>9,59,552.20</t>
  </si>
  <si>
    <t>3,32,499.50</t>
  </si>
  <si>
    <t>4,90,695.70</t>
  </si>
  <si>
    <t>1,44,750.00</t>
  </si>
  <si>
    <t>7,53,985.50</t>
  </si>
  <si>
    <t>3,00,595.50</t>
  </si>
  <si>
    <t>2,56,319.50</t>
  </si>
  <si>
    <t>1,98,013.0</t>
  </si>
  <si>
    <t>2,33,936.1</t>
  </si>
  <si>
    <t>3,90,77,684.30</t>
  </si>
  <si>
    <t>Ref: PBL/114/28/2023</t>
  </si>
  <si>
    <t>Date : 12/11/2023</t>
  </si>
  <si>
    <t>Buyers Purchase Statement of Sale No. 28 (2023-2024) Season held on 6th November, 2023</t>
  </si>
  <si>
    <t>54,32,811.20</t>
  </si>
  <si>
    <t>2,97,810.40</t>
  </si>
  <si>
    <t>3,58,867.50</t>
  </si>
  <si>
    <t>7,61,774.00</t>
  </si>
  <si>
    <t>14,88,876.50</t>
  </si>
  <si>
    <t>20,49,818.50</t>
  </si>
  <si>
    <t>1,07,177.50</t>
  </si>
  <si>
    <t>4,72,251.00</t>
  </si>
  <si>
    <t>2,39,792.40</t>
  </si>
  <si>
    <t>2,28,656.50</t>
  </si>
  <si>
    <t>5,63,365.50</t>
  </si>
  <si>
    <t>1,08,52,003.10</t>
  </si>
  <si>
    <t>2,81,080.40</t>
  </si>
  <si>
    <t>5,23,111.50</t>
  </si>
  <si>
    <t>1,44,768.00</t>
  </si>
  <si>
    <t>6,70,837.40</t>
  </si>
  <si>
    <t>1,07,565.10</t>
  </si>
  <si>
    <t>5,88,238.70</t>
  </si>
  <si>
    <t>14,13,767.20</t>
  </si>
  <si>
    <t>1,62,818.50</t>
  </si>
  <si>
    <t>2,93,609.00</t>
  </si>
  <si>
    <t>1,48,262.40</t>
  </si>
  <si>
    <t>2,96,607.50</t>
  </si>
  <si>
    <t>1,43,932.5</t>
  </si>
  <si>
    <t>1,70,136.2</t>
  </si>
  <si>
    <t>3,05,54,475.00</t>
  </si>
  <si>
    <t>58,30,138.00</t>
  </si>
  <si>
    <t>8,49,310.50</t>
  </si>
  <si>
    <t>8,63,657.50</t>
  </si>
  <si>
    <t>4,82,202.00</t>
  </si>
  <si>
    <t>4,60,601.50</t>
  </si>
  <si>
    <t>3,01,490.00</t>
  </si>
  <si>
    <t>5,93,999.50</t>
  </si>
  <si>
    <t>1,22,536.50</t>
  </si>
  <si>
    <t>4,14,872.00</t>
  </si>
  <si>
    <t>6,80,510.90</t>
  </si>
  <si>
    <t>58,63,522.00</t>
  </si>
  <si>
    <t>3,42,024.80</t>
  </si>
  <si>
    <t>10,44,930.90</t>
  </si>
  <si>
    <t>1,45,562.50</t>
  </si>
  <si>
    <t>15,82,834.70</t>
  </si>
  <si>
    <t>5,61,286.00</t>
  </si>
  <si>
    <t>1,47,207.50</t>
  </si>
  <si>
    <t>4,96,601.50</t>
  </si>
  <si>
    <t>1,49,100.00</t>
  </si>
  <si>
    <t>2,75,912.80</t>
  </si>
  <si>
    <t>5,32,090.50</t>
  </si>
  <si>
    <t>4,47,844.00</t>
  </si>
  <si>
    <t>1,88,860.00</t>
  </si>
  <si>
    <t>1,35,057.5</t>
  </si>
  <si>
    <t>1,72,957.8</t>
  </si>
  <si>
    <t>2,63,90,311.80</t>
  </si>
  <si>
    <t>Ref: PBL/114/29/2023</t>
  </si>
  <si>
    <t>Date : 19/11/2023</t>
  </si>
  <si>
    <t>Buyers Purchase Statement of Sale No. 29 (2023-2024) Season held on 13th November, 2023</t>
  </si>
  <si>
    <t>BANGLA</t>
  </si>
  <si>
    <t>CLONAL</t>
  </si>
  <si>
    <t>FAR-EAST TEA INDS. LTD.</t>
  </si>
  <si>
    <t>GREEN FIELD TEA INDS.</t>
  </si>
  <si>
    <t>HALDAVALLEY</t>
  </si>
  <si>
    <t>HAMIDIA</t>
  </si>
  <si>
    <t>KURMAH</t>
  </si>
  <si>
    <t>M. R. KHAN</t>
  </si>
  <si>
    <t>MEGA TEA INDS.</t>
  </si>
  <si>
    <t>NANDARANI</t>
  </si>
  <si>
    <t>PANCHABOTI</t>
  </si>
  <si>
    <t>PARKUL</t>
  </si>
  <si>
    <t>RAMGARH</t>
  </si>
  <si>
    <t>SABUJ AGRO INDS.</t>
  </si>
  <si>
    <t>UTTARA GREEN TEA INDS.</t>
  </si>
  <si>
    <t>SATI SHED</t>
  </si>
  <si>
    <t>DOLOI TEA ESTATE</t>
  </si>
  <si>
    <t>MALNICHERRA TEA ESTATE</t>
  </si>
  <si>
    <t>RAJNAGAR TEA ESTATE</t>
  </si>
  <si>
    <t>SUB TOTAL:</t>
  </si>
  <si>
    <t>GREEN TEA (Season: 2023-2024)</t>
  </si>
  <si>
    <t>2022-2023 (OLD SEASON)</t>
  </si>
  <si>
    <t>Ref: PBL/114/30/2023</t>
  </si>
  <si>
    <t>Date : 26/11/2023</t>
  </si>
  <si>
    <t>Buyers Purchase Statement of Sale No. 30 (2023-2024) Season held on 20th November, 2023</t>
  </si>
  <si>
    <t>15,14,333.00</t>
  </si>
  <si>
    <t>4,00,238.40</t>
  </si>
  <si>
    <t>1,66,465.60</t>
  </si>
  <si>
    <t>2,11,250.00</t>
  </si>
  <si>
    <t>5,82,851.00</t>
  </si>
  <si>
    <t>1,49,400.00</t>
  </si>
  <si>
    <t>6,70,691.70</t>
  </si>
  <si>
    <t>1,05,55,967.60</t>
  </si>
  <si>
    <t>2,70,566.40</t>
  </si>
  <si>
    <t>3,77,969.30</t>
  </si>
  <si>
    <t>2,87,516.00</t>
  </si>
  <si>
    <t>2,65,738.00</t>
  </si>
  <si>
    <t>4,64,019.40</t>
  </si>
  <si>
    <t>5,20,224.00</t>
  </si>
  <si>
    <t>2,67,559.50</t>
  </si>
  <si>
    <t>1,58,134.40</t>
  </si>
  <si>
    <t>1,17,500.00</t>
  </si>
  <si>
    <t>1,11,491.7</t>
  </si>
  <si>
    <t>2,00,88,941.20</t>
  </si>
  <si>
    <t>Date: 26/11/2023</t>
  </si>
  <si>
    <t>Sale No. 30</t>
  </si>
  <si>
    <t xml:space="preserve">         Date : 26/11/2023</t>
  </si>
  <si>
    <t>Upto Sale No. 30 (Includes Sreemongal Sale 4/8/12)</t>
  </si>
  <si>
    <t>Ref: PBL/114/16(Sreem)/2023</t>
  </si>
  <si>
    <t>Buyers Purchase Statement of Sale No. 16 (Sreemongal) (2023-2024) Season held on 22nd November, 2023</t>
  </si>
  <si>
    <t>4,27,134.50</t>
  </si>
  <si>
    <t>9,59,916.00</t>
  </si>
  <si>
    <t>2,12,072.50</t>
  </si>
  <si>
    <t>15,99,123.00</t>
  </si>
  <si>
    <t>Auction Average of Sale No. 16 (Sreemongal) held on 22nd November, 2023</t>
  </si>
  <si>
    <t>Sale No. 16 (Sreem)</t>
  </si>
  <si>
    <t>Sale No. 16 (Sreemongal)</t>
  </si>
  <si>
    <t>Upto Sale No. 30 (Includes Sreemongal Sale 4/8/12/16)</t>
  </si>
  <si>
    <t>8,55,309.50</t>
  </si>
  <si>
    <t>1,95,187.20</t>
  </si>
  <si>
    <t>11,52,772.90</t>
  </si>
  <si>
    <t>1,04,832.00</t>
  </si>
  <si>
    <t>1,19,599.00</t>
  </si>
  <si>
    <t>5,13,748.90</t>
  </si>
  <si>
    <t>1,14,310.00</t>
  </si>
  <si>
    <t>37,55,076.40</t>
  </si>
  <si>
    <t>Ref: PBL/114/31/2023</t>
  </si>
  <si>
    <t>Date : 03/12/2023</t>
  </si>
  <si>
    <t>Buyers Purchase Statement of Sale No. 31 (2023-2024) Season held on 27th November, 2023</t>
  </si>
  <si>
    <t>Ref: PBL/114/32/2023</t>
  </si>
  <si>
    <t>Date : 09/12/2023</t>
  </si>
  <si>
    <t>Buyers Purchase Statement of Sale No. 32 (2023-2024) Season held on 4th December, 2023</t>
  </si>
  <si>
    <t>32,98,756.90</t>
  </si>
  <si>
    <t>6,41,592.50</t>
  </si>
  <si>
    <t>1,56,838.80</t>
  </si>
  <si>
    <t>3,07,758.00</t>
  </si>
  <si>
    <t>1,12,819.20</t>
  </si>
  <si>
    <t>6,64,916.50</t>
  </si>
  <si>
    <t>2,28,455.50</t>
  </si>
  <si>
    <t>12,08,933.50</t>
  </si>
  <si>
    <t>4,15,450.50</t>
  </si>
  <si>
    <t>4,61,120.00</t>
  </si>
  <si>
    <t>1,76,967.50</t>
  </si>
  <si>
    <t>31,46,786.00</t>
  </si>
  <si>
    <t>1,38,24,539.60</t>
  </si>
  <si>
    <t>5,13,047.00</t>
  </si>
  <si>
    <t>11,02,307.00</t>
  </si>
  <si>
    <t>1,12,926.00</t>
  </si>
  <si>
    <t>1,89,587.50</t>
  </si>
  <si>
    <t>4,86,600.00</t>
  </si>
  <si>
    <t>25,56,510.10</t>
  </si>
  <si>
    <t>4,47,726.40</t>
  </si>
  <si>
    <t>4,61,942.80</t>
  </si>
  <si>
    <t>16,35,571.90</t>
  </si>
  <si>
    <t>9,49,444.00</t>
  </si>
  <si>
    <t>5,08,065.40</t>
  </si>
  <si>
    <t>4,46,332.00</t>
  </si>
  <si>
    <t>1,85,000.00</t>
  </si>
  <si>
    <t>2,08,103.0</t>
  </si>
  <si>
    <t>2,41,041.0</t>
  </si>
  <si>
    <t>3,69,44,490.10</t>
  </si>
  <si>
    <t>Ref: PBL/114/33/2023</t>
  </si>
  <si>
    <t>Date : 14/12/2023</t>
  </si>
  <si>
    <t>Buyers Purchase Statement of Sale No. 33 (2023-2024) Season held on 11th December, 2023</t>
  </si>
  <si>
    <t>78,05,694.00</t>
  </si>
  <si>
    <t>8,31,016.00</t>
  </si>
  <si>
    <t>2,22,975.00</t>
  </si>
  <si>
    <t>6,68,169.70</t>
  </si>
  <si>
    <t>6,67,323.70</t>
  </si>
  <si>
    <t>7,06,408.50</t>
  </si>
  <si>
    <t>1,10,000.00</t>
  </si>
  <si>
    <t>1,07,878.50</t>
  </si>
  <si>
    <t>4,25,496.00</t>
  </si>
  <si>
    <t>8,19,111.00</t>
  </si>
  <si>
    <t>1,11,825.00</t>
  </si>
  <si>
    <t>6,98,255.20</t>
  </si>
  <si>
    <t>1,03,43,979.10</t>
  </si>
  <si>
    <t>5,93,318.80</t>
  </si>
  <si>
    <t>4,56,351.50</t>
  </si>
  <si>
    <t>2,61,720.50</t>
  </si>
  <si>
    <t>1,77,215.00</t>
  </si>
  <si>
    <t>5,29,268.50</t>
  </si>
  <si>
    <t>Masud Agrp Proc. Food Prdts. Ltd</t>
  </si>
  <si>
    <t>23,96,683.60</t>
  </si>
  <si>
    <t>2,05,171.20</t>
  </si>
  <si>
    <t>5,67,063.50</t>
  </si>
  <si>
    <t>4,59,264.00</t>
  </si>
  <si>
    <t>2,73,141.00</t>
  </si>
  <si>
    <t>16,58,104.40</t>
  </si>
  <si>
    <t>1,81,464.50</t>
  </si>
  <si>
    <t>9,75,489.50</t>
  </si>
  <si>
    <t>1,73,056.00</t>
  </si>
  <si>
    <t>8,29,523.00</t>
  </si>
  <si>
    <t>Sohel Tea Enterprise</t>
  </si>
  <si>
    <t>5,76,428.00</t>
  </si>
  <si>
    <t>2,53,725.0</t>
  </si>
  <si>
    <t>2,89,559.2</t>
  </si>
  <si>
    <t>3,86,45,939.20</t>
  </si>
  <si>
    <t>Sale No. 33</t>
  </si>
  <si>
    <t>Upto Sale No. 33 (Includes Sreemongal Sale 4/8/12/16)</t>
  </si>
  <si>
    <t xml:space="preserve">         Date : 17/12/2023</t>
  </si>
  <si>
    <t>ASGARABAD</t>
  </si>
  <si>
    <t>DAKSHINGUL</t>
  </si>
  <si>
    <t>Ref: PBL/114/34/2023</t>
  </si>
  <si>
    <t>Date : 24/12/2023</t>
  </si>
  <si>
    <t>Buyers Purchase Statement of Sale No. 34 (2023-2024) Season held on 18th December, 2023</t>
  </si>
  <si>
    <t>32,48,331.50</t>
  </si>
  <si>
    <t>3,70,320.00</t>
  </si>
  <si>
    <t>6,64,528.50</t>
  </si>
  <si>
    <t>1,20,340.00</t>
  </si>
  <si>
    <t>1,22,212.00</t>
  </si>
  <si>
    <t>3,73,331.20</t>
  </si>
  <si>
    <t>8,26,594.50</t>
  </si>
  <si>
    <t>20,53,055.50</t>
  </si>
  <si>
    <t>1,62,878.50</t>
  </si>
  <si>
    <t>18,48,004.80</t>
  </si>
  <si>
    <t>1,36,78,548.50</t>
  </si>
  <si>
    <t>4,61,479.00</t>
  </si>
  <si>
    <t>2,90,462.30</t>
  </si>
  <si>
    <t>11,35,103.00</t>
  </si>
  <si>
    <t>2,14,695.50</t>
  </si>
  <si>
    <t>7,00,421.30</t>
  </si>
  <si>
    <t>11,53,585.20</t>
  </si>
  <si>
    <t>4,26,613.60</t>
  </si>
  <si>
    <t>3,63,734.40</t>
  </si>
  <si>
    <t>6,11,538.00</t>
  </si>
  <si>
    <t>1,06,037.00</t>
  </si>
  <si>
    <t>2,54,989.50</t>
  </si>
  <si>
    <t>7,97,234.50</t>
  </si>
  <si>
    <t>13,23,124.30</t>
  </si>
  <si>
    <t>1,64,010.00</t>
  </si>
  <si>
    <t>1,00,845.00</t>
  </si>
  <si>
    <t>3,85,123.00</t>
  </si>
  <si>
    <t>1,90,803.0</t>
  </si>
  <si>
    <t>2,30,781.5</t>
  </si>
  <si>
    <t>3,27,06,934.10</t>
  </si>
  <si>
    <t>Auction Average of Sale No. 34 held on 18th December, 2023</t>
  </si>
  <si>
    <t>Sale No. 34</t>
  </si>
  <si>
    <t xml:space="preserve">         Date : 24/12/2023</t>
  </si>
  <si>
    <t>Upto Sale No. 34 (Includes Sreemongal Sale 4/8/12/16)</t>
  </si>
  <si>
    <t>Ref: PBL/114/35/2023</t>
  </si>
  <si>
    <t>Date : 31/12/2023</t>
  </si>
  <si>
    <t>Buyers Purchase Statement of Sale No. 35 (2023-2024) Season held on 26th December, 2023</t>
  </si>
  <si>
    <t>Sale No. 35</t>
  </si>
  <si>
    <t xml:space="preserve">         Date : 31/12/2023</t>
  </si>
  <si>
    <t>Upto Sale No. 35 (Includes Sreemongal Sale 4/8/12/16)</t>
  </si>
  <si>
    <t>3,28,592.50</t>
  </si>
  <si>
    <t>36,05,470.90</t>
  </si>
  <si>
    <t>3,59,707.50</t>
  </si>
  <si>
    <t>2,63,010.00</t>
  </si>
  <si>
    <t>2,28,469.50</t>
  </si>
  <si>
    <t>9,21,328.00</t>
  </si>
  <si>
    <t>Ariya Trade International</t>
  </si>
  <si>
    <t>1,47,264.00</t>
  </si>
  <si>
    <t>4,63,484.50</t>
  </si>
  <si>
    <t>3,35,989.00</t>
  </si>
  <si>
    <t>8,20,253.00</t>
  </si>
  <si>
    <t>2,01,764.00</t>
  </si>
  <si>
    <t>1,09,010.00</t>
  </si>
  <si>
    <t>11,71,756.30</t>
  </si>
  <si>
    <t>30,80,261.20</t>
  </si>
  <si>
    <t>1,45,147.20</t>
  </si>
  <si>
    <t>7,94,403.00</t>
  </si>
  <si>
    <t>6,02,259.30</t>
  </si>
  <si>
    <t>1,00,074.50</t>
  </si>
  <si>
    <t>1,55,161.00</t>
  </si>
  <si>
    <t>21,91,353.70</t>
  </si>
  <si>
    <t>2,79,610.00</t>
  </si>
  <si>
    <t>2,20,881.90</t>
  </si>
  <si>
    <t>4,88,929.40</t>
  </si>
  <si>
    <t>6,30,389.60</t>
  </si>
  <si>
    <t>2,90,566.00</t>
  </si>
  <si>
    <t>3,27,229.00</t>
  </si>
  <si>
    <t>7,31,245.00</t>
  </si>
  <si>
    <t>Srabani Tea House</t>
  </si>
  <si>
    <t>1,44,714.00</t>
  </si>
  <si>
    <t>1,26,696.0</t>
  </si>
  <si>
    <t>1,60,878.1</t>
  </si>
  <si>
    <t>2,19,35,987.20</t>
  </si>
  <si>
    <t>Date : 06/1/2024</t>
  </si>
  <si>
    <t>Buyers Purchase Statement of Sale No. 36 (2023-2024) Season held on 1st January, 2024</t>
  </si>
  <si>
    <t>34,42,083.60</t>
  </si>
  <si>
    <t>1,33,997.60</t>
  </si>
  <si>
    <t>2,10,667.30</t>
  </si>
  <si>
    <t>2,96,519.50</t>
  </si>
  <si>
    <t>1,18,736.80</t>
  </si>
  <si>
    <t>11,95,931.50</t>
  </si>
  <si>
    <t>3,52,366.00</t>
  </si>
  <si>
    <t>8,31,384.00</t>
  </si>
  <si>
    <t>1,67,496.00</t>
  </si>
  <si>
    <t>6,01,046.00</t>
  </si>
  <si>
    <t>2,85,960.00</t>
  </si>
  <si>
    <t>2,12,208.50</t>
  </si>
  <si>
    <t>8,91,867.90</t>
  </si>
  <si>
    <t>1,28,61,413.70</t>
  </si>
  <si>
    <t>3,62,324.00</t>
  </si>
  <si>
    <t>3,76,682.50</t>
  </si>
  <si>
    <t>5,04,569.10</t>
  </si>
  <si>
    <t>31,69,198.10</t>
  </si>
  <si>
    <t>5,66,775.60</t>
  </si>
  <si>
    <t>5,93,986.50</t>
  </si>
  <si>
    <t>3,02,376.50</t>
  </si>
  <si>
    <t>2,84,303.40</t>
  </si>
  <si>
    <t>4,34,772.50</t>
  </si>
  <si>
    <t>2,39,167.50</t>
  </si>
  <si>
    <t>12,95,514.50</t>
  </si>
  <si>
    <t>5,19,354.00</t>
  </si>
  <si>
    <t>1,92,794.0</t>
  </si>
  <si>
    <t>2,21,486.6</t>
  </si>
  <si>
    <t>3,09,32,624.10</t>
  </si>
  <si>
    <t>Sale No. 36</t>
  </si>
  <si>
    <t xml:space="preserve">         Date : 06/01/2024</t>
  </si>
  <si>
    <t>Upto Sale No. 36 (Includes Sreemongal Sale 4/8/12/16)</t>
  </si>
  <si>
    <t>Ref: PBL/114/37/2023</t>
  </si>
  <si>
    <t>Date : 14/1/2024</t>
  </si>
  <si>
    <t>Buyers Purchase Statement of Sale No. 37 (2023-2024) Season held on 9th January, 2024</t>
  </si>
  <si>
    <t>27,11,055.50</t>
  </si>
  <si>
    <t>2,06,400.00</t>
  </si>
  <si>
    <t>1,44,197.60</t>
  </si>
  <si>
    <t>7,39,152.00</t>
  </si>
  <si>
    <t>20,23,104.00</t>
  </si>
  <si>
    <t>3,04,159.00</t>
  </si>
  <si>
    <t>2,32,943.90</t>
  </si>
  <si>
    <t>32,93,421.00</t>
  </si>
  <si>
    <t>2,15,797.50</t>
  </si>
  <si>
    <t>4,18,428.00</t>
  </si>
  <si>
    <t>3,45,045.90</t>
  </si>
  <si>
    <t>8,71,042.50</t>
  </si>
  <si>
    <t>11,77,795.50</t>
  </si>
  <si>
    <t>4,01,421.60</t>
  </si>
  <si>
    <t>4,72,091.40</t>
  </si>
  <si>
    <t>1,56,529.00</t>
  </si>
  <si>
    <t>7,29,528.00</t>
  </si>
  <si>
    <t>1,40,497.0</t>
  </si>
  <si>
    <t>1,63,443.4</t>
  </si>
  <si>
    <t>1,96,70,922.00</t>
  </si>
  <si>
    <t>Sale No. 37</t>
  </si>
  <si>
    <t xml:space="preserve">         Date : 14/01/2024</t>
  </si>
  <si>
    <t>Upto Sale No. 37 (Includes Sreemongal Sale 4/8/12/16)</t>
  </si>
  <si>
    <t>Upto Sale No. 37 (Includes Sreem. Sale 4/8/12/16)</t>
  </si>
  <si>
    <t xml:space="preserve">         Date : 21/01/2024</t>
  </si>
  <si>
    <t>Sale No. 38 &amp; 20 (Sreem)</t>
  </si>
  <si>
    <t>Upto Sale No. 38 (Includes Sreemongal Sale 4/8/12/16/20)</t>
  </si>
  <si>
    <t>Ref: PBL/114/38/2023</t>
  </si>
  <si>
    <t>Date : 20/1/2024</t>
  </si>
  <si>
    <t>Buyers Purchase Statement of Sale No. 38 (2023-2024) Season held on 15th January, 2024</t>
  </si>
  <si>
    <t>Ref: PBL/114/20 (sreem)/2023</t>
  </si>
  <si>
    <t>Buyers Purchase Statement of Sale No. 20 (Sreemongal) (2023-2024) Season held on 17th January, 2024</t>
  </si>
  <si>
    <t>Date : 20/01/2024</t>
  </si>
  <si>
    <t>Ref: PBL/114/20(Seem)/2023</t>
  </si>
  <si>
    <t>Auction Average of Sale No. 20 (Sreemongal) held on 17th January, 2024</t>
  </si>
  <si>
    <t>Sale No. 20 (Sreemongal)</t>
  </si>
  <si>
    <t>1,03,075.50</t>
  </si>
  <si>
    <t>1,65,734.40</t>
  </si>
  <si>
    <t>1,12,320.00</t>
  </si>
  <si>
    <t>1,43,222.10</t>
  </si>
  <si>
    <t>3,07,260.00</t>
  </si>
  <si>
    <t>3,45,160.50</t>
  </si>
  <si>
    <t>11,27,770.00</t>
  </si>
  <si>
    <t>77,73,471.80</t>
  </si>
  <si>
    <t>1,04,496.00</t>
  </si>
  <si>
    <t>1,17,456.10</t>
  </si>
  <si>
    <t>1,32,230.00</t>
  </si>
  <si>
    <t>9,27,355.00</t>
  </si>
  <si>
    <t>2,11,660.80</t>
  </si>
  <si>
    <t>1,52,256.00</t>
  </si>
  <si>
    <t>10,46,011.50</t>
  </si>
  <si>
    <t>1,36,481.50</t>
  </si>
  <si>
    <t>1,40,66,953.20</t>
  </si>
  <si>
    <t>Ref: PBL/114/39/2023</t>
  </si>
  <si>
    <t>Date : 28/1/2024</t>
  </si>
  <si>
    <t>Buyers Purchase Statement of Sale No. 39 (2023-2024) Season held on 22nd January, 2024</t>
  </si>
  <si>
    <t>28,21,362.50</t>
  </si>
  <si>
    <t>7,86,982.50</t>
  </si>
  <si>
    <t>8,87,901.80</t>
  </si>
  <si>
    <t>4,75,210.40</t>
  </si>
  <si>
    <t>2,76,990.50</t>
  </si>
  <si>
    <t>3,67,639.50</t>
  </si>
  <si>
    <t>7,18,318.00</t>
  </si>
  <si>
    <t>2,13,857.50</t>
  </si>
  <si>
    <t>2,66,763.50</t>
  </si>
  <si>
    <t>3,77,093.60</t>
  </si>
  <si>
    <t>3,79,450.00</t>
  </si>
  <si>
    <t>6,98,828.20</t>
  </si>
  <si>
    <t>18,31,927.50</t>
  </si>
  <si>
    <t>46,42,879.00</t>
  </si>
  <si>
    <t>3,51,806.10</t>
  </si>
  <si>
    <t>5,57,847.80</t>
  </si>
  <si>
    <t>6,45,768.00</t>
  </si>
  <si>
    <t>2,56,909.50</t>
  </si>
  <si>
    <t>10,06,403.80</t>
  </si>
  <si>
    <t>1,22,196.80</t>
  </si>
  <si>
    <t>17,61,801.20</t>
  </si>
  <si>
    <t>3,78,504.30</t>
  </si>
  <si>
    <t>7,61,926.70</t>
  </si>
  <si>
    <t>1,75,456.80</t>
  </si>
  <si>
    <t>2,68,691.50</t>
  </si>
  <si>
    <t>2,01,000.00</t>
  </si>
  <si>
    <t>3,89,158.00</t>
  </si>
  <si>
    <t>3,24,594.00</t>
  </si>
  <si>
    <t>7,31,568.50</t>
  </si>
  <si>
    <t>13,60,438.50</t>
  </si>
  <si>
    <t>2,24,414.0</t>
  </si>
  <si>
    <t>2,69,014.1</t>
  </si>
  <si>
    <t>3,10,58,052.00</t>
  </si>
  <si>
    <t xml:space="preserve">         Date : 28/01/2024</t>
  </si>
  <si>
    <t>Sale No. 39</t>
  </si>
  <si>
    <t>Upto Sale No. 39 (Includes Sreemongal Sale 4/8/12/16/20)</t>
  </si>
  <si>
    <t xml:space="preserve">         Date : 04/02/2024</t>
  </si>
  <si>
    <t>Sale No. 40</t>
  </si>
  <si>
    <t>Upto Sale No. 40 (Includes Sreemongal Sale 4/8/12/16/20)</t>
  </si>
  <si>
    <t>Ref: PBL/114/40/2023</t>
  </si>
  <si>
    <t>Date : 04/02/2024</t>
  </si>
  <si>
    <t>Buyers Purchase Statement of Sale No. 40 (2023-2024) Season held on 29th January, 2024</t>
  </si>
  <si>
    <t>43,93,172.00</t>
  </si>
  <si>
    <t>5,33,480.10</t>
  </si>
  <si>
    <t>2,18,680.00</t>
  </si>
  <si>
    <t>4,34,354.50</t>
  </si>
  <si>
    <t>1,31,894.80</t>
  </si>
  <si>
    <t>10,62,124.50</t>
  </si>
  <si>
    <t>4,14,336.00</t>
  </si>
  <si>
    <t>2,31,000.00</t>
  </si>
  <si>
    <t>11,82,424.00</t>
  </si>
  <si>
    <t>1,89,928.50</t>
  </si>
  <si>
    <t>7,69,900.50</t>
  </si>
  <si>
    <t>Chandan Tea Company</t>
  </si>
  <si>
    <t>15,82,967.90</t>
  </si>
  <si>
    <t>13,02,934.50</t>
  </si>
  <si>
    <t>6,33,134.00</t>
  </si>
  <si>
    <t>17,25,516.50</t>
  </si>
  <si>
    <t>15,87,306.50</t>
  </si>
  <si>
    <t>92,43,342.80</t>
  </si>
  <si>
    <t>2,25,870.50</t>
  </si>
  <si>
    <t>4,50,275.00</t>
  </si>
  <si>
    <t>5,18,211.60</t>
  </si>
  <si>
    <t>30,19,624.90</t>
  </si>
  <si>
    <t>1,01,195.50</t>
  </si>
  <si>
    <t>3,96,297.70</t>
  </si>
  <si>
    <t>5,11,934.00</t>
  </si>
  <si>
    <t>3,84,282.00</t>
  </si>
  <si>
    <t>1,31,708.00</t>
  </si>
  <si>
    <t>2,75,996.50</t>
  </si>
  <si>
    <t>7,08,209.60</t>
  </si>
  <si>
    <t>5,89,796.00</t>
  </si>
  <si>
    <t>3,99,750.00</t>
  </si>
  <si>
    <t>4,48,561.00</t>
  </si>
  <si>
    <t>3,17,223.50</t>
  </si>
  <si>
    <t>2,02,998.00</t>
  </si>
  <si>
    <t>2,69,449.0</t>
  </si>
  <si>
    <t>3,04,355.8</t>
  </si>
  <si>
    <t>3,74,90,608.20</t>
  </si>
  <si>
    <t>16,63,705.00</t>
  </si>
  <si>
    <t>68,30,772.50</t>
  </si>
  <si>
    <t>11,51,808.5</t>
  </si>
  <si>
    <t>12,08,616.4</t>
  </si>
  <si>
    <t>21,00,63,894.50</t>
  </si>
  <si>
    <t>31,11,870.40</t>
  </si>
  <si>
    <t>5,57,972.00</t>
  </si>
  <si>
    <t>1,07,63,698.10</t>
  </si>
  <si>
    <t>33,38,403.50</t>
  </si>
  <si>
    <t>28,97,827.50</t>
  </si>
  <si>
    <t>39,15,046.70</t>
  </si>
  <si>
    <t>1,05,736.9</t>
  </si>
  <si>
    <t>1,74,23,981.90</t>
  </si>
  <si>
    <t>3,28,750.30</t>
  </si>
  <si>
    <t>13,37,613.30</t>
  </si>
  <si>
    <t>5,58,199.50</t>
  </si>
  <si>
    <t>2,85,912.00</t>
  </si>
  <si>
    <t>38,63,229.50</t>
  </si>
  <si>
    <t>1,43,47,755.00</t>
  </si>
  <si>
    <t>71,25,218.20</t>
  </si>
  <si>
    <t>15,33,849.40</t>
  </si>
  <si>
    <t>1,48,23,372.60</t>
  </si>
  <si>
    <t>10,41,179.00</t>
  </si>
  <si>
    <t>4,33,350.50</t>
  </si>
  <si>
    <t>2,04,513.5</t>
  </si>
  <si>
    <t>3,92,97,032.50</t>
  </si>
  <si>
    <t>91,11,538.50</t>
  </si>
  <si>
    <t>3,96,517.50</t>
  </si>
  <si>
    <t>17,24,340.70</t>
  </si>
  <si>
    <t>29,27,711.90</t>
  </si>
  <si>
    <t>9,91,839.50</t>
  </si>
  <si>
    <t>1,35,40,977.00</t>
  </si>
  <si>
    <t>1,41,217.0</t>
  </si>
  <si>
    <t>2,32,309.6</t>
  </si>
  <si>
    <t>4,28,17,982.00</t>
  </si>
  <si>
    <t>1,08,44,550.90</t>
  </si>
  <si>
    <t>16,39,701.50</t>
  </si>
  <si>
    <t>16,06,708.5</t>
  </si>
  <si>
    <t>2,65,622.1</t>
  </si>
  <si>
    <t>18,72,330.6</t>
  </si>
  <si>
    <t>32,79,20,821.50</t>
  </si>
  <si>
    <t>19,77,883.10</t>
  </si>
  <si>
    <t>1,33,68,117.10</t>
  </si>
  <si>
    <t>1,62,170.00</t>
  </si>
  <si>
    <t>1,29,151.3</t>
  </si>
  <si>
    <t>1,93,00,776.50</t>
  </si>
  <si>
    <t>23,46,533.30</t>
  </si>
  <si>
    <t>9,92,167.60</t>
  </si>
  <si>
    <t>14,12,202.50</t>
  </si>
  <si>
    <t>24,66,577.20</t>
  </si>
  <si>
    <t>4,07,306.00</t>
  </si>
  <si>
    <t>1,24,697.0</t>
  </si>
  <si>
    <t>1,81,324.9</t>
  </si>
  <si>
    <t>2,99,70,762.10</t>
  </si>
  <si>
    <t>4,87,128.00</t>
  </si>
  <si>
    <t>27,33,173.80</t>
  </si>
  <si>
    <t>4,07,556.0</t>
  </si>
  <si>
    <t>4,58,201.0</t>
  </si>
  <si>
    <t>7,69,92,474.20</t>
  </si>
  <si>
    <t>3,43,594.50</t>
  </si>
  <si>
    <t>27,50,690.30</t>
  </si>
  <si>
    <t>12,22,314.50</t>
  </si>
  <si>
    <t>1,28,21,302.10</t>
  </si>
  <si>
    <t>65,88,164.50</t>
  </si>
  <si>
    <t>18,01,795.50</t>
  </si>
  <si>
    <t>23,20,231.60</t>
  </si>
  <si>
    <t>18,45,372.40</t>
  </si>
  <si>
    <t>28,22,169.50</t>
  </si>
  <si>
    <t>1,01,874.7</t>
  </si>
  <si>
    <t>1,40,18,118.10</t>
  </si>
  <si>
    <t>33,62,851.50</t>
  </si>
  <si>
    <t>34,21,777.70</t>
  </si>
  <si>
    <t>1,28,173.0</t>
  </si>
  <si>
    <t>2,36,20,949.50</t>
  </si>
  <si>
    <t>44,43,692.00</t>
  </si>
  <si>
    <t>82,96,839.50</t>
  </si>
  <si>
    <t>76,92,100.00</t>
  </si>
  <si>
    <t>1,73,133.00</t>
  </si>
  <si>
    <t>2,90,226.00</t>
  </si>
  <si>
    <t>27,34,168.50</t>
  </si>
  <si>
    <t>7,77,820.00</t>
  </si>
  <si>
    <t>25,08,995.00</t>
  </si>
  <si>
    <t>3,05,877.00</t>
  </si>
  <si>
    <t>37,21,161.30</t>
  </si>
  <si>
    <t>3,32,960.00</t>
  </si>
  <si>
    <t>5,14,633.80</t>
  </si>
  <si>
    <t>30,93,857.00</t>
  </si>
  <si>
    <t>39,39,367.00</t>
  </si>
  <si>
    <t>59,93,002.0</t>
  </si>
  <si>
    <t>12,25,869.2</t>
  </si>
  <si>
    <t>72,18,871.2</t>
  </si>
  <si>
    <t>Buyers Purchase Statement Upto Sale No. 40 (2023-2024) Season</t>
  </si>
  <si>
    <t>Date : 07/02/2024</t>
  </si>
  <si>
    <t xml:space="preserve">         Date :11/02/2024</t>
  </si>
  <si>
    <t>Sale No. 41</t>
  </si>
  <si>
    <t>Upto Sale No. 41 (Includes Sreemongal Sale 4/8/12/16/20)</t>
  </si>
  <si>
    <t>Ref: PBL/114/41/2023</t>
  </si>
  <si>
    <t>Date : 11/02/2024</t>
  </si>
  <si>
    <t>Buyers Purchase Statement of Sale No. 41 (2023-2024) Season held on 5th February, 2024</t>
  </si>
  <si>
    <t>42,03,720.00</t>
  </si>
  <si>
    <t>1,37,476.50</t>
  </si>
  <si>
    <t>3,18,179.60</t>
  </si>
  <si>
    <t>7,11,370.50</t>
  </si>
  <si>
    <t>16,39,043.50</t>
  </si>
  <si>
    <t>3,01,600.00</t>
  </si>
  <si>
    <t>1,23,740.50</t>
  </si>
  <si>
    <t>30,41,778.00</t>
  </si>
  <si>
    <t>10,76,140.50</t>
  </si>
  <si>
    <t>1,02,536.50</t>
  </si>
  <si>
    <t>2,07,042.00</t>
  </si>
  <si>
    <t>3,22,702.00</t>
  </si>
  <si>
    <t>6,22,127.20</t>
  </si>
  <si>
    <t>48,89,722.60</t>
  </si>
  <si>
    <t>2,18,488.50</t>
  </si>
  <si>
    <t>1,43,568.00</t>
  </si>
  <si>
    <t>4,14,557.90</t>
  </si>
  <si>
    <t>2,92,078.00</t>
  </si>
  <si>
    <t>1,11,664.00</t>
  </si>
  <si>
    <t>34,45,904.40</t>
  </si>
  <si>
    <t>4,01,713.00</t>
  </si>
  <si>
    <t>1,31,105.50</t>
  </si>
  <si>
    <t>2,81,604.00</t>
  </si>
  <si>
    <t>4,81,792.00</t>
  </si>
  <si>
    <t>2,94,027.00</t>
  </si>
  <si>
    <t>8,33,890.80</t>
  </si>
  <si>
    <t>4,09,242.50</t>
  </si>
  <si>
    <t>2,63,769.60</t>
  </si>
  <si>
    <t>6,86,666.00</t>
  </si>
  <si>
    <t>2,72,552.00</t>
  </si>
  <si>
    <t>2,41,677.0</t>
  </si>
  <si>
    <t>3,03,965.5</t>
  </si>
  <si>
    <t>3,37,19,736.50</t>
  </si>
  <si>
    <t>Ref: PBL/114/42/2023</t>
  </si>
  <si>
    <t>Date : 18/02/2024</t>
  </si>
  <si>
    <t>Buyers Purchase Statement of Sale No. 42 (2023-2024) Season held on 12th February, 2024</t>
  </si>
  <si>
    <t>25,08,592.50</t>
  </si>
  <si>
    <t>2,09,240.40</t>
  </si>
  <si>
    <t>4,25,046.00</t>
  </si>
  <si>
    <t>12,13,611.60</t>
  </si>
  <si>
    <t>10,70,590.90</t>
  </si>
  <si>
    <t>10,53,858.00</t>
  </si>
  <si>
    <t>2,68,117.50</t>
  </si>
  <si>
    <t>15,48,535.50</t>
  </si>
  <si>
    <t>2,36,571.50</t>
  </si>
  <si>
    <t>3,96,568.80</t>
  </si>
  <si>
    <t>2,04,055.00</t>
  </si>
  <si>
    <t>1,09,340.00</t>
  </si>
  <si>
    <t>10,94,987.30</t>
  </si>
  <si>
    <t>3,42,924.00</t>
  </si>
  <si>
    <t>6,58,389.50</t>
  </si>
  <si>
    <t>93,25,869.90</t>
  </si>
  <si>
    <t>2,27,333.00</t>
  </si>
  <si>
    <t>8,30,361.50</t>
  </si>
  <si>
    <t>5,49,701.00</t>
  </si>
  <si>
    <t>7,58,107.10</t>
  </si>
  <si>
    <t>2,61,765.00</t>
  </si>
  <si>
    <t>1,14,191.00</t>
  </si>
  <si>
    <t>24,04,060.40</t>
  </si>
  <si>
    <t>10,05,959.00</t>
  </si>
  <si>
    <t>Mubassira Traders</t>
  </si>
  <si>
    <t>1,20,138.50</t>
  </si>
  <si>
    <t>3,34,208.40</t>
  </si>
  <si>
    <t>4,61,521.00</t>
  </si>
  <si>
    <t>8,75,718.80</t>
  </si>
  <si>
    <t>2,64,703.50</t>
  </si>
  <si>
    <t>8,57,368.10</t>
  </si>
  <si>
    <t>3,38,652.00</t>
  </si>
  <si>
    <t>1,29,569.00</t>
  </si>
  <si>
    <t>Talab Tea Supply</t>
  </si>
  <si>
    <t>2,63,234.00</t>
  </si>
  <si>
    <t>2,37,456.0</t>
  </si>
  <si>
    <t>2,95,634.2</t>
  </si>
  <si>
    <t>3,35,48,992.90</t>
  </si>
  <si>
    <t>Sale No. 42</t>
  </si>
  <si>
    <t xml:space="preserve">         Date :18/02/2024</t>
  </si>
  <si>
    <t>Upto Sale No. 42 (Includes Sreemongal Sale 4/8/12/16/20)</t>
  </si>
  <si>
    <t>Ref: PBL/114/43/2023</t>
  </si>
  <si>
    <t>Date : 25/02/2024</t>
  </si>
  <si>
    <t>Buyers Purchase Statement of Sale No. 43 (2023-2024) Season held on 19th February, 2024</t>
  </si>
  <si>
    <t>2,69,589.50</t>
  </si>
  <si>
    <t>2,47,353.90</t>
  </si>
  <si>
    <t>4,49,523.50</t>
  </si>
  <si>
    <t>11,31,482.50</t>
  </si>
  <si>
    <t>1,13,421.00</t>
  </si>
  <si>
    <t>1,32,007.00</t>
  </si>
  <si>
    <t>6,99,004.50</t>
  </si>
  <si>
    <t>9,10,119.90</t>
  </si>
  <si>
    <t>11,31,791.80</t>
  </si>
  <si>
    <t>2,86,555.40</t>
  </si>
  <si>
    <t>18,56,494.40</t>
  </si>
  <si>
    <t>1,89,493.60</t>
  </si>
  <si>
    <t>7,37,508.30</t>
  </si>
  <si>
    <t>5,43,527.00</t>
  </si>
  <si>
    <t>2,52,094.20</t>
  </si>
  <si>
    <t>3,59,644.00</t>
  </si>
  <si>
    <t>5,41,913.00</t>
  </si>
  <si>
    <t>1,32,022.00</t>
  </si>
  <si>
    <t>4,33,184.40</t>
  </si>
  <si>
    <t>2,75,637.00</t>
  </si>
  <si>
    <t>1,30,422.5</t>
  </si>
  <si>
    <t>1,57,837.1</t>
  </si>
  <si>
    <t>1,31,61,397.40</t>
  </si>
  <si>
    <t>Auction Average of Sale No. 43 held on 19th February, 2024</t>
  </si>
  <si>
    <t>Sale No. 43</t>
  </si>
  <si>
    <t xml:space="preserve">         Date :25/02/2024</t>
  </si>
  <si>
    <t>Upto Sale No. 43 (Includes Sreemongal Sale 4/8/12/16/20)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</si>
</sst>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  <numFmt numFmtId="170" formatCode="0.000000000000"/>
    <numFmt numFmtId="171" formatCode="#,##0.0"/>
    <numFmt numFmtId="172" formatCode="0.0"/>
    <numFmt numFmtId="173" formatCode="_(\T\k\ * #,##0.00_);_(&quot;$&quot;* \(#,##0.00\);_(&quot;$&quot;* &quot;-&quot;??_);_(@_)"/>
    <numFmt numFmtId="174" formatCode="\T\k\ 0.00"/>
    <numFmt numFmtId="175" formatCode="_-* #,##0.00_-;\-* #,##0.00_-;_-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00_);_(* \(#,##0.000\);_(* &quot;-&quot;??_);_(@_)"/>
    <numFmt numFmtId="181" formatCode="_(* #,##0.0000_);_(* \(#,##0.0000\);_(* &quot;-&quot;??_);_(@_)"/>
  </numFmts>
  <fonts count="1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u val="singleAccounting"/>
      <sz val="10"/>
      <name val="Arial"/>
      <family val="2"/>
    </font>
    <font>
      <b/>
      <sz val="10"/>
      <name val="Times New Roman"/>
      <family val="1"/>
    </font>
    <font>
      <b/>
      <u val="singleAccounting"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Arial"/>
      <family val="2"/>
    </font>
    <font>
      <u val="single"/>
      <sz val="12"/>
      <name val="Times New Roman"/>
      <family val="1"/>
    </font>
    <font>
      <u val="singleAccounting"/>
      <sz val="12"/>
      <name val="Times New Roman"/>
      <family val="1"/>
    </font>
    <font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b/>
      <u val="singleAccounting"/>
      <sz val="10"/>
      <name val="Arial Narrow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u val="single"/>
      <sz val="11"/>
      <name val="Times New Roman"/>
      <family val="1"/>
    </font>
    <font>
      <u val="singleAccounting"/>
      <sz val="10"/>
      <name val="Arial"/>
      <family val="2"/>
    </font>
    <font>
      <u val="single"/>
      <sz val="10"/>
      <name val="Arial"/>
      <family val="2"/>
    </font>
    <font>
      <b/>
      <sz val="10"/>
      <name val="Tahoma"/>
      <family val="2"/>
    </font>
    <font>
      <b/>
      <u val="singleAccounting"/>
      <sz val="8.5"/>
      <name val="Tahoma"/>
      <family val="2"/>
    </font>
    <font>
      <b/>
      <u val="singleAccounting"/>
      <sz val="10"/>
      <name val="Tahoma"/>
      <family val="2"/>
    </font>
    <font>
      <sz val="11"/>
      <name val="Arial Narrow"/>
      <family val="2"/>
    </font>
    <font>
      <u val="singleAccounting"/>
      <sz val="11"/>
      <name val="Arial Narrow"/>
      <family val="2"/>
    </font>
    <font>
      <u val="single"/>
      <sz val="11"/>
      <name val="Arial Narrow"/>
      <family val="2"/>
    </font>
    <font>
      <sz val="11"/>
      <name val="Arial"/>
      <family val="2"/>
    </font>
    <font>
      <u val="singleAccounting"/>
      <sz val="11"/>
      <name val="Arial"/>
      <family val="2"/>
    </font>
    <font>
      <u val="single"/>
      <sz val="11"/>
      <name val="Arial"/>
      <family val="2"/>
    </font>
    <font>
      <b/>
      <sz val="9"/>
      <name val="Tahoma"/>
      <family val="2"/>
    </font>
    <font>
      <sz val="11"/>
      <name val="Utsaah"/>
      <family val="2"/>
    </font>
    <font>
      <b/>
      <u val="single"/>
      <sz val="9"/>
      <name val="Tahoma"/>
      <family val="2"/>
    </font>
    <font>
      <u val="singleAccounting"/>
      <sz val="11"/>
      <name val="Utsaah"/>
      <family val="2"/>
    </font>
    <font>
      <b/>
      <sz val="11"/>
      <name val="Times New Roman"/>
      <family val="1"/>
    </font>
    <font>
      <b/>
      <u val="singleAccounting"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Accounting"/>
      <sz val="12"/>
      <name val="Times New Roman"/>
      <family val="1"/>
    </font>
    <font>
      <b/>
      <u val="singleAccounting"/>
      <sz val="11"/>
      <name val="Utsaah"/>
      <family val="2"/>
    </font>
    <font>
      <b/>
      <sz val="11"/>
      <name val="Utsaah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u val="single"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Accounting"/>
      <sz val="11"/>
      <color indexed="8"/>
      <name val="Times New Roman"/>
      <family val="1"/>
    </font>
    <font>
      <u val="single"/>
      <sz val="10"/>
      <color indexed="8"/>
      <name val="Arial"/>
      <family val="2"/>
    </font>
    <font>
      <u val="singleAccounting"/>
      <sz val="10"/>
      <color indexed="8"/>
      <name val="Arial"/>
      <family val="2"/>
    </font>
    <font>
      <b/>
      <sz val="10"/>
      <name val="Cambria"/>
      <family val="1"/>
    </font>
    <font>
      <b/>
      <u val="single"/>
      <sz val="10"/>
      <name val="Cambria"/>
      <family val="1"/>
    </font>
    <font>
      <b/>
      <u val="singleAccounting"/>
      <sz val="10"/>
      <name val="Cambria"/>
      <family val="1"/>
    </font>
    <font>
      <b/>
      <u val="singleAccounting"/>
      <sz val="11"/>
      <color indexed="8"/>
      <name val="Calibri"/>
      <family val="2"/>
    </font>
    <font>
      <b/>
      <u val="single"/>
      <sz val="10"/>
      <color indexed="8"/>
      <name val="Cambria"/>
      <family val="1"/>
    </font>
    <font>
      <b/>
      <sz val="10"/>
      <color indexed="8"/>
      <name val="Cambria"/>
      <family val="1"/>
    </font>
    <font>
      <b/>
      <u val="singleAccounting"/>
      <sz val="10"/>
      <color indexed="8"/>
      <name val="Cambria"/>
      <family val="1"/>
    </font>
    <font>
      <b/>
      <sz val="9"/>
      <color indexed="8"/>
      <name val="Cambria"/>
      <family val="1"/>
    </font>
    <font>
      <b/>
      <sz val="8.5"/>
      <color indexed="8"/>
      <name val="Cambria"/>
      <family val="1"/>
    </font>
    <font>
      <b/>
      <u val="single"/>
      <sz val="9"/>
      <color indexed="8"/>
      <name val="Cambria"/>
      <family val="1"/>
    </font>
    <font>
      <b/>
      <u val="single"/>
      <sz val="8.5"/>
      <color indexed="8"/>
      <name val="Cambria"/>
      <family val="1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b/>
      <sz val="9"/>
      <name val="Cambria"/>
      <family val="1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u val="singleAccounting"/>
      <sz val="12"/>
      <color indexed="8"/>
      <name val="Times New Roman"/>
      <family val="1"/>
    </font>
    <font>
      <b/>
      <u val="singleAccounting"/>
      <sz val="9"/>
      <color indexed="8"/>
      <name val="Cambria"/>
      <family val="1"/>
    </font>
    <font>
      <b/>
      <sz val="8.5"/>
      <name val="Cambria"/>
      <family val="1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u val="single"/>
      <sz val="11"/>
      <color indexed="8"/>
      <name val="Arial Narrow"/>
      <family val="2"/>
    </font>
    <font>
      <u val="singleAccounting"/>
      <sz val="12"/>
      <color indexed="8"/>
      <name val="Times New Roman"/>
      <family val="1"/>
    </font>
    <font>
      <u val="single"/>
      <sz val="11"/>
      <color indexed="8"/>
      <name val="Arial"/>
      <family val="2"/>
    </font>
    <font>
      <b/>
      <u val="single"/>
      <sz val="11"/>
      <color indexed="8"/>
      <name val="Times New Roman"/>
      <family val="1"/>
    </font>
    <font>
      <b/>
      <u val="singleAccounting"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1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b/>
      <u val="singleAccounting"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Times New Roman"/>
      <family val="1"/>
    </font>
    <font>
      <u val="single"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u val="single"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u val="single"/>
      <sz val="11"/>
      <color rgb="FF000000"/>
      <name val="Times New Roman"/>
      <family val="1"/>
    </font>
    <font>
      <u val="singleAccounting"/>
      <sz val="11"/>
      <color theme="1"/>
      <name val="Times New Roman"/>
      <family val="1"/>
    </font>
    <font>
      <u val="singleAccounting"/>
      <sz val="11"/>
      <color rgb="FF000000"/>
      <name val="Times New Roman"/>
      <family val="1"/>
    </font>
    <font>
      <u val="single"/>
      <sz val="10"/>
      <color rgb="FF000000"/>
      <name val="Arial"/>
      <family val="2"/>
    </font>
    <font>
      <u val="singleAccounting"/>
      <sz val="10"/>
      <color rgb="FF000000"/>
      <name val="Arial"/>
      <family val="2"/>
    </font>
    <font>
      <b/>
      <u val="singleAccounting"/>
      <sz val="11"/>
      <color theme="1"/>
      <name val="Calibri"/>
      <family val="2"/>
    </font>
    <font>
      <b/>
      <u val="single"/>
      <sz val="10"/>
      <color theme="1"/>
      <name val="Cambria"/>
      <family val="1"/>
    </font>
    <font>
      <b/>
      <sz val="10"/>
      <color theme="1"/>
      <name val="Cambria"/>
      <family val="1"/>
    </font>
    <font>
      <b/>
      <u val="singleAccounting"/>
      <sz val="10"/>
      <color theme="1"/>
      <name val="Cambria"/>
      <family val="1"/>
    </font>
    <font>
      <b/>
      <sz val="9"/>
      <color theme="1"/>
      <name val="Cambria"/>
      <family val="1"/>
    </font>
    <font>
      <b/>
      <sz val="8.5"/>
      <color theme="1"/>
      <name val="Cambria"/>
      <family val="1"/>
    </font>
    <font>
      <b/>
      <u val="single"/>
      <sz val="9"/>
      <color theme="1"/>
      <name val="Cambria"/>
      <family val="1"/>
    </font>
    <font>
      <b/>
      <u val="single"/>
      <sz val="8.5"/>
      <color theme="1"/>
      <name val="Cambria"/>
      <family val="1"/>
    </font>
    <font>
      <sz val="8"/>
      <color rgb="FF000000"/>
      <name val="Arial"/>
      <family val="2"/>
    </font>
    <font>
      <sz val="8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Calibri"/>
      <family val="2"/>
    </font>
    <font>
      <b/>
      <u val="singleAccounting"/>
      <sz val="12"/>
      <color theme="1"/>
      <name val="Times New Roman"/>
      <family val="1"/>
    </font>
    <font>
      <b/>
      <u val="singleAccounting"/>
      <sz val="9"/>
      <color theme="1"/>
      <name val="Cambria"/>
      <family val="1"/>
    </font>
    <font>
      <sz val="11"/>
      <color theme="1"/>
      <name val="Arial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u val="single"/>
      <sz val="11"/>
      <color rgb="FF000000"/>
      <name val="Arial Narrow"/>
      <family val="2"/>
    </font>
    <font>
      <u val="singleAccounting"/>
      <sz val="12"/>
      <color theme="1"/>
      <name val="Times New Roman"/>
      <family val="1"/>
    </font>
    <font>
      <sz val="11"/>
      <color rgb="FF000000"/>
      <name val="Arial"/>
      <family val="2"/>
    </font>
    <font>
      <u val="single"/>
      <sz val="11"/>
      <color rgb="FF000000"/>
      <name val="Arial"/>
      <family val="2"/>
    </font>
    <font>
      <b/>
      <sz val="11"/>
      <color rgb="FF000000"/>
      <name val="Times New Roman"/>
      <family val="1"/>
    </font>
    <font>
      <b/>
      <u val="single"/>
      <sz val="11"/>
      <color rgb="FF000000"/>
      <name val="Times New Roman"/>
      <family val="1"/>
    </font>
    <font>
      <b/>
      <u val="singleAccounting"/>
      <sz val="11"/>
      <color rgb="FF000000"/>
      <name val="Times New Roman"/>
      <family val="1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u val="single"/>
      <sz val="11"/>
      <color rgb="FF000000"/>
      <name val="Arial"/>
      <family val="2"/>
    </font>
    <font>
      <b/>
      <u val="single"/>
      <sz val="10"/>
      <color rgb="FF000000"/>
      <name val="Arial"/>
      <family val="2"/>
    </font>
    <font>
      <b/>
      <sz val="11"/>
      <color rgb="FF000000"/>
      <name val="Arial Narrow"/>
      <family val="2"/>
    </font>
    <font>
      <b/>
      <u val="single"/>
      <sz val="11"/>
      <color rgb="FF000000"/>
      <name val="Arial Narrow"/>
      <family val="2"/>
    </font>
    <font>
      <b/>
      <u val="singleAccounting"/>
      <sz val="11"/>
      <color theme="1"/>
      <name val="Times New Roman"/>
      <family val="1"/>
    </font>
    <font>
      <b/>
      <u val="singleAccounting"/>
      <sz val="11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110" fillId="20" borderId="0" applyNumberFormat="0" applyBorder="0" applyAlignment="0" applyProtection="0"/>
    <xf numFmtId="0" fontId="110" fillId="21" borderId="0" applyNumberFormat="0" applyBorder="0" applyAlignment="0" applyProtection="0"/>
    <xf numFmtId="0" fontId="110" fillId="22" borderId="0" applyNumberFormat="0" applyBorder="0" applyAlignment="0" applyProtection="0"/>
    <xf numFmtId="0" fontId="110" fillId="23" borderId="0" applyNumberFormat="0" applyBorder="0" applyAlignment="0" applyProtection="0"/>
    <xf numFmtId="0" fontId="110" fillId="24" borderId="0" applyNumberFormat="0" applyBorder="0" applyAlignment="0" applyProtection="0"/>
    <xf numFmtId="0" fontId="110" fillId="25" borderId="0" applyNumberFormat="0" applyBorder="0" applyAlignment="0" applyProtection="0"/>
    <xf numFmtId="0" fontId="111" fillId="26" borderId="0" applyNumberFormat="0" applyBorder="0" applyAlignment="0" applyProtection="0"/>
    <xf numFmtId="0" fontId="112" fillId="27" borderId="1" applyNumberFormat="0" applyAlignment="0" applyProtection="0"/>
    <xf numFmtId="0" fontId="11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29" borderId="0" applyNumberFormat="0" applyBorder="0" applyAlignment="0" applyProtection="0"/>
    <xf numFmtId="0" fontId="117" fillId="0" borderId="3" applyNumberFormat="0" applyFill="0" applyAlignment="0" applyProtection="0"/>
    <xf numFmtId="0" fontId="118" fillId="0" borderId="4" applyNumberFormat="0" applyFill="0" applyAlignment="0" applyProtection="0"/>
    <xf numFmtId="0" fontId="119" fillId="0" borderId="5" applyNumberFormat="0" applyFill="0" applyAlignment="0" applyProtection="0"/>
    <xf numFmtId="0" fontId="1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0" fillId="30" borderId="1" applyNumberFormat="0" applyAlignment="0" applyProtection="0"/>
    <xf numFmtId="0" fontId="121" fillId="0" borderId="6" applyNumberFormat="0" applyFill="0" applyAlignment="0" applyProtection="0"/>
    <xf numFmtId="0" fontId="122" fillId="31" borderId="0" applyNumberFormat="0" applyBorder="0" applyAlignment="0" applyProtection="0"/>
    <xf numFmtId="0" fontId="2" fillId="0" borderId="0">
      <alignment/>
      <protection/>
    </xf>
    <xf numFmtId="0" fontId="12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24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9" applyNumberFormat="0" applyFill="0" applyAlignment="0" applyProtection="0"/>
    <xf numFmtId="0" fontId="127" fillId="0" borderId="0" applyNumberFormat="0" applyFill="0" applyBorder="0" applyAlignment="0" applyProtection="0"/>
  </cellStyleXfs>
  <cellXfs count="86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8" fillId="0" borderId="0" xfId="0" applyFont="1" applyAlignment="1">
      <alignment/>
    </xf>
    <xf numFmtId="0" fontId="0" fillId="0" borderId="0" xfId="0" applyAlignment="1">
      <alignment vertical="center"/>
    </xf>
    <xf numFmtId="0" fontId="128" fillId="0" borderId="0" xfId="0" applyFont="1" applyAlignment="1">
      <alignment vertical="center"/>
    </xf>
    <xf numFmtId="43" fontId="128" fillId="0" borderId="0" xfId="42" applyFont="1" applyAlignment="1">
      <alignment vertical="center"/>
    </xf>
    <xf numFmtId="165" fontId="128" fillId="0" borderId="0" xfId="42" applyNumberFormat="1" applyFont="1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5" fontId="4" fillId="0" borderId="0" xfId="49" applyNumberFormat="1" applyFont="1" applyBorder="1" applyAlignment="1">
      <alignment vertical="center"/>
    </xf>
    <xf numFmtId="0" fontId="129" fillId="0" borderId="0" xfId="0" applyFont="1" applyBorder="1" applyAlignment="1">
      <alignment vertical="center"/>
    </xf>
    <xf numFmtId="0" fontId="129" fillId="0" borderId="0" xfId="0" applyFont="1" applyAlignment="1">
      <alignment vertical="center"/>
    </xf>
    <xf numFmtId="0" fontId="5" fillId="0" borderId="0" xfId="0" applyFont="1" applyAlignment="1">
      <alignment/>
    </xf>
    <xf numFmtId="0" fontId="130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7" fillId="0" borderId="0" xfId="80" applyFont="1">
      <alignment/>
      <protection/>
    </xf>
    <xf numFmtId="164" fontId="7" fillId="0" borderId="0" xfId="42" applyNumberFormat="1" applyFont="1" applyBorder="1" applyAlignment="1">
      <alignment/>
    </xf>
    <xf numFmtId="165" fontId="7" fillId="0" borderId="0" xfId="42" applyNumberFormat="1" applyFont="1" applyBorder="1" applyAlignment="1">
      <alignment horizontal="right"/>
    </xf>
    <xf numFmtId="165" fontId="7" fillId="0" borderId="0" xfId="42" applyNumberFormat="1" applyFont="1" applyBorder="1" applyAlignment="1">
      <alignment/>
    </xf>
    <xf numFmtId="43" fontId="7" fillId="0" borderId="0" xfId="42" applyFont="1" applyBorder="1" applyAlignment="1">
      <alignment horizontal="right"/>
    </xf>
    <xf numFmtId="165" fontId="8" fillId="0" borderId="0" xfId="42" applyNumberFormat="1" applyFont="1" applyBorder="1" applyAlignment="1">
      <alignment/>
    </xf>
    <xf numFmtId="165" fontId="7" fillId="0" borderId="0" xfId="42" applyNumberFormat="1" applyFont="1" applyBorder="1" applyAlignment="1">
      <alignment horizontal="center"/>
    </xf>
    <xf numFmtId="164" fontId="9" fillId="0" borderId="0" xfId="42" applyNumberFormat="1" applyFont="1" applyBorder="1" applyAlignment="1">
      <alignment horizontal="center"/>
    </xf>
    <xf numFmtId="165" fontId="9" fillId="0" borderId="0" xfId="42" applyNumberFormat="1" applyFont="1" applyBorder="1" applyAlignment="1">
      <alignment horizontal="right"/>
    </xf>
    <xf numFmtId="165" fontId="9" fillId="0" borderId="0" xfId="42" applyNumberFormat="1" applyFont="1" applyBorder="1" applyAlignment="1">
      <alignment horizontal="center"/>
    </xf>
    <xf numFmtId="43" fontId="9" fillId="0" borderId="0" xfId="42" applyFont="1" applyBorder="1" applyAlignment="1">
      <alignment horizontal="right"/>
    </xf>
    <xf numFmtId="165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130" fillId="0" borderId="0" xfId="0" applyFont="1" applyAlignment="1">
      <alignment/>
    </xf>
    <xf numFmtId="164" fontId="131" fillId="0" borderId="0" xfId="42" applyNumberFormat="1" applyFont="1" applyAlignment="1">
      <alignment/>
    </xf>
    <xf numFmtId="165" fontId="130" fillId="0" borderId="0" xfId="0" applyNumberFormat="1" applyFont="1" applyAlignment="1">
      <alignment/>
    </xf>
    <xf numFmtId="165" fontId="130" fillId="0" borderId="0" xfId="42" applyNumberFormat="1" applyFont="1" applyAlignment="1">
      <alignment/>
    </xf>
    <xf numFmtId="49" fontId="131" fillId="0" borderId="0" xfId="0" applyNumberFormat="1" applyFont="1" applyAlignment="1">
      <alignment/>
    </xf>
    <xf numFmtId="165" fontId="131" fillId="0" borderId="0" xfId="0" applyNumberFormat="1" applyFont="1" applyAlignment="1">
      <alignment/>
    </xf>
    <xf numFmtId="165" fontId="131" fillId="0" borderId="0" xfId="42" applyNumberFormat="1" applyFont="1" applyAlignment="1">
      <alignment/>
    </xf>
    <xf numFmtId="164" fontId="130" fillId="0" borderId="0" xfId="42" applyNumberFormat="1" applyFont="1" applyAlignment="1">
      <alignment/>
    </xf>
    <xf numFmtId="0" fontId="126" fillId="0" borderId="0" xfId="0" applyFont="1" applyAlignment="1">
      <alignment/>
    </xf>
    <xf numFmtId="164" fontId="126" fillId="0" borderId="0" xfId="42" applyNumberFormat="1" applyFont="1" applyAlignment="1">
      <alignment/>
    </xf>
    <xf numFmtId="165" fontId="126" fillId="0" borderId="0" xfId="0" applyNumberFormat="1" applyFont="1" applyAlignment="1">
      <alignment/>
    </xf>
    <xf numFmtId="165" fontId="126" fillId="0" borderId="0" xfId="42" applyNumberFormat="1" applyFont="1" applyAlignment="1">
      <alignment/>
    </xf>
    <xf numFmtId="43" fontId="130" fillId="0" borderId="0" xfId="42" applyFont="1" applyAlignment="1">
      <alignment horizontal="right"/>
    </xf>
    <xf numFmtId="43" fontId="131" fillId="0" borderId="0" xfId="42" applyFont="1" applyAlignment="1">
      <alignment horizontal="right"/>
    </xf>
    <xf numFmtId="43" fontId="126" fillId="0" borderId="0" xfId="42" applyFont="1" applyAlignment="1">
      <alignment horizontal="right"/>
    </xf>
    <xf numFmtId="43" fontId="0" fillId="0" borderId="0" xfId="42" applyFont="1" applyAlignment="1">
      <alignment horizontal="right"/>
    </xf>
    <xf numFmtId="164" fontId="132" fillId="0" borderId="0" xfId="42" applyNumberFormat="1" applyFont="1" applyAlignment="1">
      <alignment/>
    </xf>
    <xf numFmtId="165" fontId="132" fillId="0" borderId="0" xfId="42" applyNumberFormat="1" applyFont="1" applyAlignment="1">
      <alignment horizontal="right"/>
    </xf>
    <xf numFmtId="165" fontId="132" fillId="0" borderId="0" xfId="42" applyNumberFormat="1" applyFont="1" applyAlignment="1">
      <alignment/>
    </xf>
    <xf numFmtId="0" fontId="132" fillId="0" borderId="0" xfId="0" applyFont="1" applyAlignment="1">
      <alignment/>
    </xf>
    <xf numFmtId="43" fontId="7" fillId="33" borderId="0" xfId="42" applyFont="1" applyFill="1" applyBorder="1" applyAlignment="1">
      <alignment horizontal="right"/>
    </xf>
    <xf numFmtId="0" fontId="10" fillId="0" borderId="0" xfId="0" applyFont="1" applyAlignment="1">
      <alignment/>
    </xf>
    <xf numFmtId="165" fontId="129" fillId="0" borderId="0" xfId="42" applyNumberFormat="1" applyFont="1" applyAlignment="1">
      <alignment vertical="center"/>
    </xf>
    <xf numFmtId="43" fontId="129" fillId="0" borderId="0" xfId="42" applyFont="1" applyAlignment="1">
      <alignment vertical="center"/>
    </xf>
    <xf numFmtId="10" fontId="6" fillId="0" borderId="0" xfId="85" applyNumberFormat="1" applyFont="1" applyAlignment="1">
      <alignment/>
    </xf>
    <xf numFmtId="0" fontId="11" fillId="0" borderId="0" xfId="0" applyFont="1" applyAlignment="1">
      <alignment vertical="center"/>
    </xf>
    <xf numFmtId="14" fontId="11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165" fontId="4" fillId="0" borderId="0" xfId="42" applyNumberFormat="1" applyFont="1" applyAlignment="1">
      <alignment vertical="center"/>
    </xf>
    <xf numFmtId="43" fontId="4" fillId="0" borderId="0" xfId="42" applyFont="1" applyAlignment="1">
      <alignment horizontal="right" vertical="center"/>
    </xf>
    <xf numFmtId="43" fontId="4" fillId="0" borderId="0" xfId="42" applyFont="1" applyAlignment="1">
      <alignment horizontal="center" vertical="center"/>
    </xf>
    <xf numFmtId="164" fontId="4" fillId="0" borderId="10" xfId="42" applyNumberFormat="1" applyFont="1" applyBorder="1" applyAlignment="1">
      <alignment horizontal="left" vertical="center"/>
    </xf>
    <xf numFmtId="165" fontId="4" fillId="0" borderId="10" xfId="42" applyNumberFormat="1" applyFont="1" applyBorder="1" applyAlignment="1">
      <alignment vertical="center"/>
    </xf>
    <xf numFmtId="43" fontId="4" fillId="0" borderId="10" xfId="42" applyFont="1" applyBorder="1" applyAlignment="1">
      <alignment horizontal="right" vertical="center"/>
    </xf>
    <xf numFmtId="165" fontId="4" fillId="0" borderId="11" xfId="42" applyNumberFormat="1" applyFont="1" applyBorder="1" applyAlignment="1">
      <alignment vertical="center"/>
    </xf>
    <xf numFmtId="43" fontId="4" fillId="0" borderId="11" xfId="42" applyFont="1" applyBorder="1" applyAlignment="1">
      <alignment horizontal="center" vertical="center"/>
    </xf>
    <xf numFmtId="164" fontId="4" fillId="0" borderId="0" xfId="49" applyNumberFormat="1" applyFont="1" applyBorder="1" applyAlignment="1">
      <alignment horizontal="left" vertical="center"/>
    </xf>
    <xf numFmtId="165" fontId="4" fillId="0" borderId="0" xfId="42" applyNumberFormat="1" applyFont="1" applyBorder="1" applyAlignment="1">
      <alignment vertical="center"/>
    </xf>
    <xf numFmtId="43" fontId="4" fillId="0" borderId="0" xfId="42" applyFont="1" applyBorder="1" applyAlignment="1">
      <alignment horizontal="right" vertical="center"/>
    </xf>
    <xf numFmtId="43" fontId="4" fillId="0" borderId="0" xfId="42" applyFont="1" applyBorder="1" applyAlignment="1">
      <alignment horizontal="center" vertical="center"/>
    </xf>
    <xf numFmtId="164" fontId="4" fillId="0" borderId="10" xfId="49" applyNumberFormat="1" applyFont="1" applyBorder="1" applyAlignment="1">
      <alignment vertical="center"/>
    </xf>
    <xf numFmtId="43" fontId="4" fillId="0" borderId="10" xfId="42" applyFont="1" applyBorder="1" applyAlignment="1">
      <alignment vertical="center"/>
    </xf>
    <xf numFmtId="43" fontId="4" fillId="0" borderId="10" xfId="42" applyFont="1" applyBorder="1" applyAlignment="1">
      <alignment horizontal="center" vertical="center"/>
    </xf>
    <xf numFmtId="164" fontId="4" fillId="0" borderId="11" xfId="49" applyNumberFormat="1" applyFont="1" applyBorder="1" applyAlignment="1">
      <alignment vertical="center"/>
    </xf>
    <xf numFmtId="43" fontId="4" fillId="0" borderId="11" xfId="42" applyFont="1" applyBorder="1" applyAlignment="1">
      <alignment vertical="center"/>
    </xf>
    <xf numFmtId="164" fontId="4" fillId="0" borderId="0" xfId="49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165" fontId="11" fillId="0" borderId="0" xfId="42" applyNumberFormat="1" applyFont="1" applyAlignment="1">
      <alignment horizontal="center" vertical="center"/>
    </xf>
    <xf numFmtId="43" fontId="11" fillId="0" borderId="0" xfId="42" applyFont="1" applyAlignment="1">
      <alignment horizontal="center" vertical="center"/>
    </xf>
    <xf numFmtId="164" fontId="4" fillId="0" borderId="0" xfId="49" applyNumberFormat="1" applyFont="1" applyAlignment="1">
      <alignment horizontal="left" vertical="center"/>
    </xf>
    <xf numFmtId="164" fontId="4" fillId="0" borderId="10" xfId="49" applyNumberFormat="1" applyFont="1" applyBorder="1" applyAlignment="1">
      <alignment horizontal="left" vertical="center"/>
    </xf>
    <xf numFmtId="166" fontId="4" fillId="0" borderId="0" xfId="49" applyNumberFormat="1" applyFont="1" applyBorder="1" applyAlignment="1">
      <alignment vertical="center"/>
    </xf>
    <xf numFmtId="166" fontId="4" fillId="0" borderId="0" xfId="0" applyNumberFormat="1" applyFont="1" applyBorder="1" applyAlignment="1">
      <alignment horizontal="center" vertical="center"/>
    </xf>
    <xf numFmtId="164" fontId="12" fillId="0" borderId="0" xfId="49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164" fontId="4" fillId="0" borderId="0" xfId="49" applyNumberFormat="1" applyFont="1" applyBorder="1" applyAlignment="1">
      <alignment horizontal="right" vertical="center"/>
    </xf>
    <xf numFmtId="165" fontId="4" fillId="0" borderId="0" xfId="49" applyNumberFormat="1" applyFont="1" applyBorder="1" applyAlignment="1">
      <alignment horizontal="right" vertical="center"/>
    </xf>
    <xf numFmtId="166" fontId="4" fillId="0" borderId="0" xfId="49" applyNumberFormat="1" applyFont="1" applyBorder="1" applyAlignment="1">
      <alignment horizontal="right" vertical="center"/>
    </xf>
    <xf numFmtId="10" fontId="4" fillId="0" borderId="0" xfId="86" applyNumberFormat="1" applyFont="1" applyBorder="1" applyAlignment="1">
      <alignment horizontal="right" vertical="center"/>
    </xf>
    <xf numFmtId="165" fontId="12" fillId="0" borderId="0" xfId="49" applyNumberFormat="1" applyFont="1" applyBorder="1" applyAlignment="1">
      <alignment horizontal="right" vertical="center"/>
    </xf>
    <xf numFmtId="166" fontId="12" fillId="0" borderId="0" xfId="49" applyNumberFormat="1" applyFont="1" applyBorder="1" applyAlignment="1">
      <alignment horizontal="right" vertical="center"/>
    </xf>
    <xf numFmtId="10" fontId="12" fillId="0" borderId="0" xfId="86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164" fontId="12" fillId="0" borderId="0" xfId="49" applyNumberFormat="1" applyFont="1" applyBorder="1" applyAlignment="1">
      <alignment horizontal="right" vertical="top"/>
    </xf>
    <xf numFmtId="165" fontId="12" fillId="0" borderId="0" xfId="42" applyNumberFormat="1" applyFont="1" applyBorder="1" applyAlignment="1">
      <alignment horizontal="right" vertical="top"/>
    </xf>
    <xf numFmtId="10" fontId="12" fillId="0" borderId="0" xfId="86" applyNumberFormat="1" applyFont="1" applyBorder="1" applyAlignment="1">
      <alignment horizontal="right" vertical="top"/>
    </xf>
    <xf numFmtId="43" fontId="12" fillId="0" borderId="0" xfId="49" applyFont="1" applyBorder="1" applyAlignment="1">
      <alignment horizontal="right" vertical="center"/>
    </xf>
    <xf numFmtId="10" fontId="4" fillId="0" borderId="0" xfId="86" applyNumberFormat="1" applyFont="1" applyAlignment="1">
      <alignment vertical="center"/>
    </xf>
    <xf numFmtId="0" fontId="13" fillId="0" borderId="0" xfId="80" applyFont="1">
      <alignment/>
      <protection/>
    </xf>
    <xf numFmtId="164" fontId="13" fillId="0" borderId="0" xfId="42" applyNumberFormat="1" applyFont="1" applyBorder="1" applyAlignment="1">
      <alignment/>
    </xf>
    <xf numFmtId="165" fontId="13" fillId="0" borderId="0" xfId="42" applyNumberFormat="1" applyFont="1" applyBorder="1" applyAlignment="1">
      <alignment horizontal="right"/>
    </xf>
    <xf numFmtId="165" fontId="13" fillId="0" borderId="0" xfId="42" applyNumberFormat="1" applyFont="1" applyBorder="1" applyAlignment="1">
      <alignment/>
    </xf>
    <xf numFmtId="43" fontId="13" fillId="0" borderId="0" xfId="42" applyFont="1" applyBorder="1" applyAlignment="1">
      <alignment horizontal="right"/>
    </xf>
    <xf numFmtId="165" fontId="14" fillId="0" borderId="0" xfId="42" applyNumberFormat="1" applyFont="1" applyBorder="1" applyAlignment="1">
      <alignment/>
    </xf>
    <xf numFmtId="165" fontId="13" fillId="0" borderId="0" xfId="42" applyNumberFormat="1" applyFont="1" applyBorder="1" applyAlignment="1">
      <alignment horizontal="center"/>
    </xf>
    <xf numFmtId="164" fontId="15" fillId="0" borderId="0" xfId="42" applyNumberFormat="1" applyFont="1" applyBorder="1" applyAlignment="1">
      <alignment horizontal="center"/>
    </xf>
    <xf numFmtId="165" fontId="15" fillId="0" borderId="0" xfId="42" applyNumberFormat="1" applyFont="1" applyBorder="1" applyAlignment="1">
      <alignment horizontal="right"/>
    </xf>
    <xf numFmtId="165" fontId="15" fillId="0" borderId="0" xfId="42" applyNumberFormat="1" applyFont="1" applyBorder="1" applyAlignment="1">
      <alignment horizontal="center"/>
    </xf>
    <xf numFmtId="43" fontId="15" fillId="0" borderId="0" xfId="42" applyFont="1" applyBorder="1" applyAlignment="1">
      <alignment horizontal="right"/>
    </xf>
    <xf numFmtId="0" fontId="133" fillId="0" borderId="0" xfId="0" applyFont="1" applyAlignment="1">
      <alignment/>
    </xf>
    <xf numFmtId="164" fontId="134" fillId="0" borderId="0" xfId="42" applyNumberFormat="1" applyFont="1" applyAlignment="1">
      <alignment/>
    </xf>
    <xf numFmtId="165" fontId="133" fillId="0" borderId="0" xfId="0" applyNumberFormat="1" applyFont="1" applyAlignment="1">
      <alignment/>
    </xf>
    <xf numFmtId="165" fontId="133" fillId="0" borderId="0" xfId="42" applyNumberFormat="1" applyFont="1" applyAlignment="1">
      <alignment/>
    </xf>
    <xf numFmtId="43" fontId="133" fillId="0" borderId="0" xfId="42" applyFont="1" applyAlignment="1">
      <alignment horizontal="right"/>
    </xf>
    <xf numFmtId="49" fontId="134" fillId="0" borderId="0" xfId="0" applyNumberFormat="1" applyFont="1" applyAlignment="1">
      <alignment/>
    </xf>
    <xf numFmtId="165" fontId="134" fillId="0" borderId="0" xfId="0" applyNumberFormat="1" applyFont="1" applyAlignment="1">
      <alignment/>
    </xf>
    <xf numFmtId="165" fontId="134" fillId="0" borderId="0" xfId="42" applyNumberFormat="1" applyFont="1" applyAlignment="1">
      <alignment/>
    </xf>
    <xf numFmtId="43" fontId="134" fillId="0" borderId="0" xfId="42" applyFont="1" applyAlignment="1">
      <alignment horizontal="right"/>
    </xf>
    <xf numFmtId="165" fontId="0" fillId="0" borderId="0" xfId="0" applyNumberFormat="1" applyFont="1" applyAlignment="1">
      <alignment/>
    </xf>
    <xf numFmtId="164" fontId="135" fillId="0" borderId="0" xfId="42" applyNumberFormat="1" applyFont="1" applyAlignment="1">
      <alignment/>
    </xf>
    <xf numFmtId="165" fontId="135" fillId="0" borderId="0" xfId="42" applyNumberFormat="1" applyFont="1" applyAlignment="1">
      <alignment horizontal="right"/>
    </xf>
    <xf numFmtId="165" fontId="135" fillId="0" borderId="0" xfId="42" applyNumberFormat="1" applyFont="1" applyAlignment="1">
      <alignment/>
    </xf>
    <xf numFmtId="0" fontId="135" fillId="0" borderId="0" xfId="0" applyFont="1" applyAlignment="1">
      <alignment/>
    </xf>
    <xf numFmtId="43" fontId="13" fillId="33" borderId="0" xfId="42" applyFont="1" applyFill="1" applyBorder="1" applyAlignment="1">
      <alignment horizontal="right"/>
    </xf>
    <xf numFmtId="164" fontId="123" fillId="0" borderId="0" xfId="42" applyNumberFormat="1" applyFont="1" applyAlignment="1">
      <alignment/>
    </xf>
    <xf numFmtId="165" fontId="135" fillId="0" borderId="0" xfId="0" applyNumberFormat="1" applyFont="1" applyAlignment="1">
      <alignment/>
    </xf>
    <xf numFmtId="43" fontId="135" fillId="0" borderId="0" xfId="42" applyFont="1" applyAlignment="1">
      <alignment horizontal="right"/>
    </xf>
    <xf numFmtId="49" fontId="123" fillId="0" borderId="0" xfId="0" applyNumberFormat="1" applyFont="1" applyAlignment="1">
      <alignment/>
    </xf>
    <xf numFmtId="165" fontId="123" fillId="0" borderId="0" xfId="0" applyNumberFormat="1" applyFont="1" applyAlignment="1">
      <alignment/>
    </xf>
    <xf numFmtId="165" fontId="123" fillId="0" borderId="0" xfId="42" applyNumberFormat="1" applyFont="1" applyAlignment="1">
      <alignment/>
    </xf>
    <xf numFmtId="43" fontId="123" fillId="0" borderId="0" xfId="42" applyFont="1" applyAlignment="1">
      <alignment horizontal="right"/>
    </xf>
    <xf numFmtId="1" fontId="123" fillId="0" borderId="0" xfId="0" applyNumberFormat="1" applyFont="1" applyAlignment="1">
      <alignment/>
    </xf>
    <xf numFmtId="165" fontId="123" fillId="0" borderId="0" xfId="42" applyNumberFormat="1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165" fontId="17" fillId="0" borderId="0" xfId="49" applyNumberFormat="1" applyFont="1" applyAlignment="1">
      <alignment horizontal="right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18" fillId="0" borderId="0" xfId="49" applyNumberFormat="1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165" fontId="17" fillId="0" borderId="0" xfId="49" applyNumberFormat="1" applyFont="1" applyBorder="1" applyAlignment="1">
      <alignment horizontal="right" vertical="center"/>
    </xf>
    <xf numFmtId="169" fontId="18" fillId="0" borderId="0" xfId="49" applyNumberFormat="1" applyFont="1" applyBorder="1" applyAlignment="1">
      <alignment horizontal="right" vertical="center"/>
    </xf>
    <xf numFmtId="43" fontId="17" fillId="0" borderId="0" xfId="42" applyFont="1" applyBorder="1" applyAlignment="1">
      <alignment horizontal="center" vertical="center"/>
    </xf>
    <xf numFmtId="43" fontId="18" fillId="0" borderId="0" xfId="42" applyFont="1" applyBorder="1" applyAlignment="1">
      <alignment horizontal="center" vertical="center"/>
    </xf>
    <xf numFmtId="165" fontId="18" fillId="0" borderId="0" xfId="42" applyNumberFormat="1" applyFont="1" applyBorder="1" applyAlignment="1">
      <alignment horizontal="right" vertical="center"/>
    </xf>
    <xf numFmtId="3" fontId="123" fillId="0" borderId="0" xfId="0" applyNumberFormat="1" applyFont="1" applyAlignment="1">
      <alignment/>
    </xf>
    <xf numFmtId="43" fontId="17" fillId="0" borderId="0" xfId="42" applyFont="1" applyAlignment="1">
      <alignment horizontal="center"/>
    </xf>
    <xf numFmtId="165" fontId="17" fillId="0" borderId="0" xfId="42" applyNumberFormat="1" applyFont="1" applyAlignment="1">
      <alignment horizontal="center"/>
    </xf>
    <xf numFmtId="165" fontId="17" fillId="0" borderId="0" xfId="42" applyNumberFormat="1" applyFont="1" applyAlignment="1">
      <alignment horizontal="right"/>
    </xf>
    <xf numFmtId="43" fontId="17" fillId="0" borderId="0" xfId="42" applyFont="1" applyAlignment="1">
      <alignment/>
    </xf>
    <xf numFmtId="164" fontId="17" fillId="0" borderId="0" xfId="42" applyNumberFormat="1" applyFont="1" applyAlignment="1">
      <alignment/>
    </xf>
    <xf numFmtId="43" fontId="17" fillId="0" borderId="0" xfId="42" applyFont="1" applyBorder="1" applyAlignment="1">
      <alignment horizontal="center"/>
    </xf>
    <xf numFmtId="43" fontId="16" fillId="0" borderId="0" xfId="42" applyFont="1" applyBorder="1" applyAlignment="1">
      <alignment horizontal="center" vertical="center"/>
    </xf>
    <xf numFmtId="165" fontId="17" fillId="0" borderId="0" xfId="42" applyNumberFormat="1" applyFont="1" applyAlignment="1">
      <alignment vertical="center"/>
    </xf>
    <xf numFmtId="43" fontId="17" fillId="0" borderId="0" xfId="42" applyFont="1" applyAlignment="1">
      <alignment/>
    </xf>
    <xf numFmtId="43" fontId="129" fillId="0" borderId="0" xfId="42" applyFont="1" applyAlignment="1">
      <alignment horizontal="right" vertical="center"/>
    </xf>
    <xf numFmtId="43" fontId="16" fillId="0" borderId="0" xfId="42" applyFont="1" applyAlignment="1">
      <alignment horizontal="right"/>
    </xf>
    <xf numFmtId="165" fontId="18" fillId="0" borderId="0" xfId="42" applyNumberFormat="1" applyFont="1" applyAlignment="1">
      <alignment horizontal="center"/>
    </xf>
    <xf numFmtId="43" fontId="18" fillId="0" borderId="0" xfId="42" applyFont="1" applyBorder="1" applyAlignment="1">
      <alignment horizontal="center"/>
    </xf>
    <xf numFmtId="165" fontId="18" fillId="0" borderId="0" xfId="42" applyNumberFormat="1" applyFont="1" applyAlignment="1">
      <alignment horizontal="right"/>
    </xf>
    <xf numFmtId="43" fontId="18" fillId="0" borderId="0" xfId="42" applyFont="1" applyAlignment="1">
      <alignment horizontal="center"/>
    </xf>
    <xf numFmtId="43" fontId="18" fillId="0" borderId="0" xfId="42" applyFont="1" applyBorder="1" applyAlignment="1">
      <alignment horizontal="right"/>
    </xf>
    <xf numFmtId="43" fontId="18" fillId="0" borderId="0" xfId="42" applyFont="1" applyAlignment="1">
      <alignment horizontal="right"/>
    </xf>
    <xf numFmtId="165" fontId="16" fillId="0" borderId="0" xfId="42" applyNumberFormat="1" applyFont="1" applyAlignment="1">
      <alignment horizontal="right"/>
    </xf>
    <xf numFmtId="43" fontId="16" fillId="0" borderId="0" xfId="42" applyFont="1" applyBorder="1" applyAlignment="1">
      <alignment horizontal="right"/>
    </xf>
    <xf numFmtId="0" fontId="19" fillId="0" borderId="0" xfId="0" applyFont="1" applyAlignment="1">
      <alignment horizontal="right"/>
    </xf>
    <xf numFmtId="164" fontId="18" fillId="0" borderId="0" xfId="42" applyNumberFormat="1" applyFont="1" applyAlignment="1">
      <alignment/>
    </xf>
    <xf numFmtId="43" fontId="18" fillId="0" borderId="0" xfId="42" applyFont="1" applyAlignment="1">
      <alignment/>
    </xf>
    <xf numFmtId="10" fontId="10" fillId="0" borderId="0" xfId="85" applyNumberFormat="1" applyFont="1" applyAlignment="1">
      <alignment/>
    </xf>
    <xf numFmtId="10" fontId="6" fillId="0" borderId="0" xfId="85" applyNumberFormat="1" applyFont="1" applyAlignment="1">
      <alignment horizontal="right"/>
    </xf>
    <xf numFmtId="0" fontId="0" fillId="0" borderId="0" xfId="0" applyAlignment="1">
      <alignment/>
    </xf>
    <xf numFmtId="165" fontId="123" fillId="0" borderId="0" xfId="42" applyNumberFormat="1" applyFont="1" applyAlignment="1">
      <alignment horizontal="right"/>
    </xf>
    <xf numFmtId="164" fontId="123" fillId="0" borderId="0" xfId="42" applyNumberFormat="1" applyFont="1" applyAlignment="1">
      <alignment horizontal="right"/>
    </xf>
    <xf numFmtId="164" fontId="136" fillId="0" borderId="0" xfId="42" applyNumberFormat="1" applyFont="1" applyAlignment="1">
      <alignment horizontal="right"/>
    </xf>
    <xf numFmtId="165" fontId="136" fillId="0" borderId="0" xfId="0" applyNumberFormat="1" applyFont="1" applyAlignment="1">
      <alignment horizontal="right"/>
    </xf>
    <xf numFmtId="165" fontId="136" fillId="0" borderId="0" xfId="42" applyNumberFormat="1" applyFont="1" applyAlignment="1">
      <alignment horizontal="right"/>
    </xf>
    <xf numFmtId="43" fontId="136" fillId="0" borderId="0" xfId="42" applyFont="1" applyAlignment="1">
      <alignment horizontal="right"/>
    </xf>
    <xf numFmtId="49" fontId="136" fillId="0" borderId="0" xfId="0" applyNumberFormat="1" applyFont="1" applyAlignment="1">
      <alignment horizontal="left"/>
    </xf>
    <xf numFmtId="165" fontId="135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left" vertical="center"/>
    </xf>
    <xf numFmtId="164" fontId="4" fillId="0" borderId="11" xfId="42" applyNumberFormat="1" applyFont="1" applyBorder="1" applyAlignment="1">
      <alignment vertical="center"/>
    </xf>
    <xf numFmtId="43" fontId="4" fillId="0" borderId="11" xfId="42" applyFont="1" applyBorder="1" applyAlignment="1">
      <alignment horizontal="right" vertical="center"/>
    </xf>
    <xf numFmtId="166" fontId="12" fillId="0" borderId="0" xfId="49" applyNumberFormat="1" applyFont="1" applyBorder="1" applyAlignment="1">
      <alignment horizontal="right" vertical="top"/>
    </xf>
    <xf numFmtId="0" fontId="11" fillId="0" borderId="0" xfId="0" applyFont="1" applyAlignment="1">
      <alignment horizontal="right" vertical="center"/>
    </xf>
    <xf numFmtId="165" fontId="11" fillId="0" borderId="0" xfId="42" applyNumberFormat="1" applyFont="1" applyAlignment="1">
      <alignment horizontal="right" vertical="center"/>
    </xf>
    <xf numFmtId="43" fontId="11" fillId="0" borderId="0" xfId="42" applyFont="1" applyAlignment="1">
      <alignment horizontal="right" vertical="center"/>
    </xf>
    <xf numFmtId="43" fontId="4" fillId="0" borderId="0" xfId="42" applyFont="1" applyBorder="1" applyAlignment="1">
      <alignment vertical="center"/>
    </xf>
    <xf numFmtId="164" fontId="11" fillId="0" borderId="0" xfId="49" applyNumberFormat="1" applyFont="1" applyBorder="1" applyAlignment="1">
      <alignment vertical="center"/>
    </xf>
    <xf numFmtId="164" fontId="11" fillId="0" borderId="0" xfId="49" applyNumberFormat="1" applyFont="1" applyBorder="1" applyAlignment="1">
      <alignment horizontal="right" vertical="center"/>
    </xf>
    <xf numFmtId="166" fontId="11" fillId="0" borderId="0" xfId="49" applyNumberFormat="1" applyFont="1" applyBorder="1" applyAlignment="1">
      <alignment vertical="center"/>
    </xf>
    <xf numFmtId="166" fontId="11" fillId="0" borderId="0" xfId="0" applyNumberFormat="1" applyFont="1" applyBorder="1" applyAlignment="1">
      <alignment horizontal="center" vertical="center"/>
    </xf>
    <xf numFmtId="164" fontId="4" fillId="0" borderId="0" xfId="42" applyNumberFormat="1" applyFont="1" applyBorder="1" applyAlignment="1">
      <alignment vertical="center"/>
    </xf>
    <xf numFmtId="43" fontId="5" fillId="0" borderId="0" xfId="49" applyFont="1" applyAlignment="1">
      <alignment/>
    </xf>
    <xf numFmtId="165" fontId="5" fillId="0" borderId="0" xfId="49" applyNumberFormat="1" applyFont="1" applyAlignment="1">
      <alignment horizontal="left"/>
    </xf>
    <xf numFmtId="165" fontId="5" fillId="0" borderId="0" xfId="49" applyNumberFormat="1" applyFont="1" applyAlignment="1">
      <alignment/>
    </xf>
    <xf numFmtId="43" fontId="5" fillId="0" borderId="0" xfId="49" applyFont="1" applyAlignment="1">
      <alignment horizontal="right"/>
    </xf>
    <xf numFmtId="43" fontId="5" fillId="0" borderId="0" xfId="49" applyFont="1" applyAlignment="1">
      <alignment horizontal="left"/>
    </xf>
    <xf numFmtId="43" fontId="5" fillId="0" borderId="0" xfId="49" applyFont="1" applyAlignment="1">
      <alignment horizontal="center"/>
    </xf>
    <xf numFmtId="165" fontId="5" fillId="0" borderId="0" xfId="49" applyNumberFormat="1" applyFont="1" applyAlignment="1">
      <alignment horizontal="center"/>
    </xf>
    <xf numFmtId="0" fontId="20" fillId="0" borderId="0" xfId="0" applyFont="1" applyAlignment="1">
      <alignment/>
    </xf>
    <xf numFmtId="165" fontId="20" fillId="0" borderId="0" xfId="49" applyNumberFormat="1" applyFont="1" applyAlignment="1">
      <alignment horizontal="left"/>
    </xf>
    <xf numFmtId="43" fontId="20" fillId="0" borderId="0" xfId="49" applyFont="1" applyAlignment="1">
      <alignment horizontal="right"/>
    </xf>
    <xf numFmtId="0" fontId="20" fillId="0" borderId="0" xfId="0" applyFont="1" applyAlignment="1">
      <alignment horizontal="left"/>
    </xf>
    <xf numFmtId="165" fontId="20" fillId="0" borderId="0" xfId="49" applyNumberFormat="1" applyFont="1" applyAlignment="1">
      <alignment horizontal="center"/>
    </xf>
    <xf numFmtId="43" fontId="20" fillId="0" borderId="0" xfId="49" applyFont="1" applyBorder="1" applyAlignment="1">
      <alignment horizontal="center"/>
    </xf>
    <xf numFmtId="165" fontId="20" fillId="0" borderId="0" xfId="49" applyNumberFormat="1" applyFont="1" applyAlignment="1">
      <alignment horizontal="right"/>
    </xf>
    <xf numFmtId="43" fontId="20" fillId="0" borderId="0" xfId="49" applyFont="1" applyBorder="1" applyAlignment="1">
      <alignment horizontal="right"/>
    </xf>
    <xf numFmtId="43" fontId="5" fillId="0" borderId="0" xfId="49" applyFont="1" applyBorder="1" applyAlignment="1">
      <alignment horizontal="center"/>
    </xf>
    <xf numFmtId="165" fontId="5" fillId="0" borderId="0" xfId="49" applyNumberFormat="1" applyFont="1" applyAlignment="1">
      <alignment horizontal="right"/>
    </xf>
    <xf numFmtId="43" fontId="5" fillId="0" borderId="0" xfId="49" applyFont="1" applyBorder="1" applyAlignment="1">
      <alignment horizontal="right"/>
    </xf>
    <xf numFmtId="165" fontId="6" fillId="0" borderId="0" xfId="49" applyNumberFormat="1" applyFont="1" applyAlignment="1">
      <alignment horizontal="right"/>
    </xf>
    <xf numFmtId="43" fontId="6" fillId="0" borderId="0" xfId="49" applyFont="1" applyBorder="1" applyAlignment="1">
      <alignment horizontal="center"/>
    </xf>
    <xf numFmtId="43" fontId="6" fillId="0" borderId="0" xfId="49" applyFont="1" applyAlignment="1">
      <alignment horizontal="right"/>
    </xf>
    <xf numFmtId="0" fontId="5" fillId="0" borderId="0" xfId="0" applyFont="1" applyAlignment="1">
      <alignment horizontal="left" vertical="center"/>
    </xf>
    <xf numFmtId="165" fontId="6" fillId="0" borderId="0" xfId="49" applyNumberFormat="1" applyFont="1" applyBorder="1" applyAlignment="1">
      <alignment horizontal="right" vertical="center"/>
    </xf>
    <xf numFmtId="43" fontId="6" fillId="0" borderId="0" xfId="49" applyFont="1" applyBorder="1" applyAlignment="1">
      <alignment horizontal="center" vertical="center"/>
    </xf>
    <xf numFmtId="43" fontId="6" fillId="0" borderId="0" xfId="49" applyFont="1" applyBorder="1" applyAlignment="1">
      <alignment horizontal="right" vertical="center"/>
    </xf>
    <xf numFmtId="0" fontId="2" fillId="0" borderId="0" xfId="0" applyFont="1" applyAlignment="1">
      <alignment/>
    </xf>
    <xf numFmtId="165" fontId="5" fillId="0" borderId="0" xfId="49" applyNumberFormat="1" applyFont="1" applyBorder="1" applyAlignment="1">
      <alignment horizontal="right" vertical="center"/>
    </xf>
    <xf numFmtId="43" fontId="5" fillId="0" borderId="0" xfId="49" applyFont="1" applyBorder="1" applyAlignment="1">
      <alignment horizontal="center" vertical="center"/>
    </xf>
    <xf numFmtId="43" fontId="5" fillId="0" borderId="0" xfId="49" applyFont="1" applyBorder="1" applyAlignment="1">
      <alignment horizontal="right" vertical="center"/>
    </xf>
    <xf numFmtId="165" fontId="20" fillId="0" borderId="0" xfId="49" applyNumberFormat="1" applyFont="1" applyAlignment="1">
      <alignment/>
    </xf>
    <xf numFmtId="43" fontId="20" fillId="0" borderId="0" xfId="49" applyFont="1" applyAlignment="1">
      <alignment/>
    </xf>
    <xf numFmtId="165" fontId="6" fillId="0" borderId="0" xfId="49" applyNumberFormat="1" applyFont="1" applyAlignment="1">
      <alignment/>
    </xf>
    <xf numFmtId="43" fontId="6" fillId="0" borderId="0" xfId="49" applyFont="1" applyAlignment="1">
      <alignment/>
    </xf>
    <xf numFmtId="0" fontId="20" fillId="0" borderId="0" xfId="0" applyFont="1" applyAlignment="1">
      <alignment horizontal="right"/>
    </xf>
    <xf numFmtId="9" fontId="20" fillId="0" borderId="0" xfId="86" applyFont="1" applyAlignment="1">
      <alignment horizontal="right"/>
    </xf>
    <xf numFmtId="164" fontId="5" fillId="0" borderId="0" xfId="49" applyNumberFormat="1" applyFont="1" applyBorder="1" applyAlignment="1">
      <alignment/>
    </xf>
    <xf numFmtId="165" fontId="5" fillId="0" borderId="0" xfId="49" applyNumberFormat="1" applyFont="1" applyBorder="1" applyAlignment="1">
      <alignment/>
    </xf>
    <xf numFmtId="43" fontId="5" fillId="0" borderId="0" xfId="49" applyFont="1" applyBorder="1" applyAlignment="1">
      <alignment/>
    </xf>
    <xf numFmtId="165" fontId="5" fillId="0" borderId="0" xfId="49" applyNumberFormat="1" applyFont="1" applyBorder="1" applyAlignment="1">
      <alignment horizontal="right"/>
    </xf>
    <xf numFmtId="10" fontId="5" fillId="0" borderId="0" xfId="86" applyNumberFormat="1" applyFont="1" applyBorder="1" applyAlignment="1">
      <alignment/>
    </xf>
    <xf numFmtId="164" fontId="5" fillId="0" borderId="10" xfId="49" applyNumberFormat="1" applyFont="1" applyBorder="1" applyAlignment="1">
      <alignment/>
    </xf>
    <xf numFmtId="165" fontId="5" fillId="0" borderId="10" xfId="49" applyNumberFormat="1" applyFont="1" applyBorder="1" applyAlignment="1">
      <alignment/>
    </xf>
    <xf numFmtId="43" fontId="5" fillId="0" borderId="10" xfId="49" applyFont="1" applyBorder="1" applyAlignment="1">
      <alignment/>
    </xf>
    <xf numFmtId="165" fontId="5" fillId="0" borderId="10" xfId="49" applyNumberFormat="1" applyFont="1" applyBorder="1" applyAlignment="1">
      <alignment horizontal="right"/>
    </xf>
    <xf numFmtId="10" fontId="5" fillId="0" borderId="10" xfId="86" applyNumberFormat="1" applyFont="1" applyBorder="1" applyAlignment="1">
      <alignment/>
    </xf>
    <xf numFmtId="165" fontId="0" fillId="0" borderId="0" xfId="42" applyNumberFormat="1" applyFont="1" applyAlignment="1">
      <alignment/>
    </xf>
    <xf numFmtId="165" fontId="13" fillId="33" borderId="0" xfId="42" applyNumberFormat="1" applyFont="1" applyFill="1" applyBorder="1" applyAlignment="1">
      <alignment horizontal="right"/>
    </xf>
    <xf numFmtId="164" fontId="137" fillId="0" borderId="0" xfId="42" applyNumberFormat="1" applyFont="1" applyAlignment="1">
      <alignment horizontal="right"/>
    </xf>
    <xf numFmtId="165" fontId="137" fillId="0" borderId="0" xfId="42" applyNumberFormat="1" applyFont="1" applyAlignment="1">
      <alignment horizontal="right"/>
    </xf>
    <xf numFmtId="43" fontId="132" fillId="0" borderId="0" xfId="42" applyFont="1" applyAlignment="1">
      <alignment horizontal="right"/>
    </xf>
    <xf numFmtId="49" fontId="138" fillId="0" borderId="0" xfId="0" applyNumberFormat="1" applyFont="1" applyAlignment="1">
      <alignment horizontal="left"/>
    </xf>
    <xf numFmtId="164" fontId="138" fillId="0" borderId="0" xfId="42" applyNumberFormat="1" applyFont="1" applyAlignment="1">
      <alignment horizontal="right"/>
    </xf>
    <xf numFmtId="165" fontId="138" fillId="0" borderId="0" xfId="42" applyNumberFormat="1" applyFont="1" applyAlignment="1">
      <alignment horizontal="right"/>
    </xf>
    <xf numFmtId="43" fontId="138" fillId="0" borderId="0" xfId="42" applyFont="1" applyAlignment="1">
      <alignment horizontal="right"/>
    </xf>
    <xf numFmtId="49" fontId="137" fillId="0" borderId="0" xfId="0" applyNumberFormat="1" applyFont="1" applyAlignment="1">
      <alignment/>
    </xf>
    <xf numFmtId="1" fontId="137" fillId="0" borderId="0" xfId="0" applyNumberFormat="1" applyFont="1" applyAlignment="1">
      <alignment/>
    </xf>
    <xf numFmtId="165" fontId="137" fillId="0" borderId="0" xfId="42" applyNumberFormat="1" applyFont="1" applyAlignment="1">
      <alignment/>
    </xf>
    <xf numFmtId="172" fontId="137" fillId="0" borderId="0" xfId="0" applyNumberFormat="1" applyFont="1" applyAlignment="1">
      <alignment/>
    </xf>
    <xf numFmtId="165" fontId="137" fillId="0" borderId="0" xfId="42" applyNumberFormat="1" applyFont="1" applyAlignment="1">
      <alignment/>
    </xf>
    <xf numFmtId="43" fontId="137" fillId="0" borderId="0" xfId="42" applyFont="1" applyAlignment="1">
      <alignment horizontal="right"/>
    </xf>
    <xf numFmtId="43" fontId="137" fillId="0" borderId="0" xfId="42" applyFont="1" applyAlignment="1">
      <alignment/>
    </xf>
    <xf numFmtId="3" fontId="137" fillId="0" borderId="0" xfId="0" applyNumberFormat="1" applyFont="1" applyAlignment="1">
      <alignment/>
    </xf>
    <xf numFmtId="165" fontId="7" fillId="33" borderId="0" xfId="42" applyNumberFormat="1" applyFont="1" applyFill="1" applyBorder="1" applyAlignment="1">
      <alignment horizontal="right"/>
    </xf>
    <xf numFmtId="0" fontId="139" fillId="0" borderId="0" xfId="0" applyFont="1" applyAlignment="1">
      <alignment/>
    </xf>
    <xf numFmtId="0" fontId="21" fillId="0" borderId="0" xfId="80" applyFont="1">
      <alignment/>
      <protection/>
    </xf>
    <xf numFmtId="164" fontId="21" fillId="0" borderId="0" xfId="42" applyNumberFormat="1" applyFont="1" applyBorder="1" applyAlignment="1">
      <alignment/>
    </xf>
    <xf numFmtId="165" fontId="21" fillId="0" borderId="0" xfId="42" applyNumberFormat="1" applyFont="1" applyBorder="1" applyAlignment="1">
      <alignment horizontal="right"/>
    </xf>
    <xf numFmtId="165" fontId="21" fillId="0" borderId="0" xfId="42" applyNumberFormat="1" applyFont="1" applyBorder="1" applyAlignment="1">
      <alignment/>
    </xf>
    <xf numFmtId="43" fontId="21" fillId="0" borderId="0" xfId="42" applyFont="1" applyBorder="1" applyAlignment="1">
      <alignment horizontal="right"/>
    </xf>
    <xf numFmtId="165" fontId="22" fillId="0" borderId="0" xfId="42" applyNumberFormat="1" applyFont="1" applyBorder="1" applyAlignment="1">
      <alignment/>
    </xf>
    <xf numFmtId="165" fontId="21" fillId="0" borderId="0" xfId="42" applyNumberFormat="1" applyFont="1" applyBorder="1" applyAlignment="1">
      <alignment horizontal="center"/>
    </xf>
    <xf numFmtId="164" fontId="23" fillId="0" borderId="0" xfId="42" applyNumberFormat="1" applyFont="1" applyBorder="1" applyAlignment="1">
      <alignment horizontal="center"/>
    </xf>
    <xf numFmtId="165" fontId="23" fillId="0" borderId="0" xfId="42" applyNumberFormat="1" applyFont="1" applyBorder="1" applyAlignment="1">
      <alignment horizontal="right"/>
    </xf>
    <xf numFmtId="165" fontId="23" fillId="0" borderId="0" xfId="42" applyNumberFormat="1" applyFont="1" applyBorder="1" applyAlignment="1">
      <alignment horizontal="center"/>
    </xf>
    <xf numFmtId="43" fontId="23" fillId="0" borderId="0" xfId="42" applyFont="1" applyBorder="1" applyAlignment="1">
      <alignment horizontal="right"/>
    </xf>
    <xf numFmtId="0" fontId="140" fillId="0" borderId="0" xfId="0" applyFont="1" applyAlignment="1">
      <alignment/>
    </xf>
    <xf numFmtId="164" fontId="141" fillId="0" borderId="0" xfId="42" applyNumberFormat="1" applyFont="1" applyAlignment="1">
      <alignment horizontal="right"/>
    </xf>
    <xf numFmtId="165" fontId="140" fillId="0" borderId="0" xfId="42" applyNumberFormat="1" applyFont="1" applyAlignment="1">
      <alignment horizontal="right"/>
    </xf>
    <xf numFmtId="165" fontId="141" fillId="0" borderId="0" xfId="42" applyNumberFormat="1" applyFont="1" applyAlignment="1">
      <alignment horizontal="right"/>
    </xf>
    <xf numFmtId="43" fontId="140" fillId="0" borderId="0" xfId="42" applyFont="1" applyAlignment="1">
      <alignment horizontal="right"/>
    </xf>
    <xf numFmtId="49" fontId="142" fillId="0" borderId="0" xfId="0" applyNumberFormat="1" applyFont="1" applyAlignment="1">
      <alignment horizontal="left"/>
    </xf>
    <xf numFmtId="164" fontId="142" fillId="0" borderId="0" xfId="42" applyNumberFormat="1" applyFont="1" applyAlignment="1">
      <alignment horizontal="right"/>
    </xf>
    <xf numFmtId="165" fontId="142" fillId="0" borderId="0" xfId="42" applyNumberFormat="1" applyFont="1" applyAlignment="1">
      <alignment horizontal="right"/>
    </xf>
    <xf numFmtId="43" fontId="142" fillId="0" borderId="0" xfId="42" applyFont="1" applyAlignment="1">
      <alignment horizontal="right"/>
    </xf>
    <xf numFmtId="49" fontId="141" fillId="0" borderId="0" xfId="0" applyNumberFormat="1" applyFont="1" applyAlignment="1">
      <alignment/>
    </xf>
    <xf numFmtId="43" fontId="141" fillId="0" borderId="0" xfId="42" applyFont="1" applyAlignment="1">
      <alignment horizontal="right"/>
    </xf>
    <xf numFmtId="164" fontId="140" fillId="0" borderId="0" xfId="42" applyNumberFormat="1" applyFont="1" applyAlignment="1">
      <alignment horizontal="right"/>
    </xf>
    <xf numFmtId="3" fontId="141" fillId="0" borderId="0" xfId="0" applyNumberFormat="1" applyFont="1" applyAlignment="1">
      <alignment/>
    </xf>
    <xf numFmtId="1" fontId="141" fillId="0" borderId="0" xfId="0" applyNumberFormat="1" applyFont="1" applyAlignment="1">
      <alignment/>
    </xf>
    <xf numFmtId="165" fontId="141" fillId="0" borderId="0" xfId="42" applyNumberFormat="1" applyFont="1" applyAlignment="1">
      <alignment/>
    </xf>
    <xf numFmtId="164" fontId="140" fillId="0" borderId="0" xfId="42" applyNumberFormat="1" applyFont="1" applyAlignment="1">
      <alignment/>
    </xf>
    <xf numFmtId="165" fontId="140" fillId="0" borderId="0" xfId="42" applyNumberFormat="1" applyFont="1" applyAlignment="1">
      <alignment/>
    </xf>
    <xf numFmtId="164" fontId="140" fillId="0" borderId="0" xfId="42" applyNumberFormat="1" applyFont="1" applyAlignment="1">
      <alignment horizontal="left"/>
    </xf>
    <xf numFmtId="165" fontId="140" fillId="0" borderId="0" xfId="42" applyNumberFormat="1" applyFont="1" applyAlignment="1">
      <alignment horizontal="left"/>
    </xf>
    <xf numFmtId="165" fontId="21" fillId="33" borderId="0" xfId="42" applyNumberFormat="1" applyFont="1" applyFill="1" applyBorder="1" applyAlignment="1">
      <alignment horizontal="left"/>
    </xf>
    <xf numFmtId="165" fontId="141" fillId="0" borderId="0" xfId="42" applyNumberFormat="1" applyFont="1" applyAlignment="1">
      <alignment/>
    </xf>
    <xf numFmtId="43" fontId="141" fillId="0" borderId="0" xfId="42" applyFont="1" applyAlignment="1">
      <alignment/>
    </xf>
    <xf numFmtId="0" fontId="0" fillId="0" borderId="0" xfId="0" applyAlignment="1">
      <alignment/>
    </xf>
    <xf numFmtId="43" fontId="143" fillId="0" borderId="0" xfId="42" applyFont="1" applyAlignment="1">
      <alignment/>
    </xf>
    <xf numFmtId="165" fontId="144" fillId="0" borderId="0" xfId="42" applyNumberFormat="1" applyFont="1" applyAlignment="1">
      <alignment/>
    </xf>
    <xf numFmtId="164" fontId="144" fillId="0" borderId="0" xfId="42" applyNumberFormat="1" applyFont="1" applyAlignment="1">
      <alignment/>
    </xf>
    <xf numFmtId="165" fontId="144" fillId="0" borderId="0" xfId="42" applyNumberFormat="1" applyFont="1" applyAlignment="1">
      <alignment/>
    </xf>
    <xf numFmtId="43" fontId="144" fillId="0" borderId="0" xfId="42" applyFont="1" applyAlignment="1">
      <alignment horizontal="right"/>
    </xf>
    <xf numFmtId="43" fontId="144" fillId="0" borderId="0" xfId="42" applyFont="1" applyAlignment="1">
      <alignment/>
    </xf>
    <xf numFmtId="165" fontId="144" fillId="0" borderId="0" xfId="42" applyNumberFormat="1" applyFont="1" applyAlignment="1">
      <alignment horizontal="right"/>
    </xf>
    <xf numFmtId="164" fontId="144" fillId="0" borderId="0" xfId="42" applyNumberFormat="1" applyFont="1" applyAlignment="1">
      <alignment horizontal="right"/>
    </xf>
    <xf numFmtId="1" fontId="144" fillId="0" borderId="0" xfId="0" applyNumberFormat="1" applyFont="1" applyAlignment="1">
      <alignment/>
    </xf>
    <xf numFmtId="1" fontId="142" fillId="0" borderId="0" xfId="0" applyNumberFormat="1" applyFont="1" applyAlignment="1">
      <alignment/>
    </xf>
    <xf numFmtId="165" fontId="142" fillId="0" borderId="0" xfId="42" applyNumberFormat="1" applyFont="1" applyAlignment="1">
      <alignment/>
    </xf>
    <xf numFmtId="165" fontId="142" fillId="0" borderId="0" xfId="42" applyNumberFormat="1" applyFont="1" applyAlignment="1">
      <alignment/>
    </xf>
    <xf numFmtId="43" fontId="142" fillId="0" borderId="0" xfId="42" applyFont="1" applyAlignment="1">
      <alignment/>
    </xf>
    <xf numFmtId="3" fontId="144" fillId="0" borderId="0" xfId="0" applyNumberFormat="1" applyFont="1" applyAlignment="1">
      <alignment/>
    </xf>
    <xf numFmtId="43" fontId="140" fillId="0" borderId="0" xfId="42" applyFont="1" applyAlignment="1">
      <alignment/>
    </xf>
    <xf numFmtId="164" fontId="141" fillId="0" borderId="0" xfId="42" applyNumberFormat="1" applyFont="1" applyAlignment="1">
      <alignment/>
    </xf>
    <xf numFmtId="49" fontId="141" fillId="0" borderId="0" xfId="0" applyNumberFormat="1" applyFont="1" applyAlignment="1">
      <alignment horizontal="left"/>
    </xf>
    <xf numFmtId="3" fontId="142" fillId="0" borderId="0" xfId="0" applyNumberFormat="1" applyFont="1" applyAlignment="1">
      <alignment/>
    </xf>
    <xf numFmtId="0" fontId="23" fillId="0" borderId="0" xfId="80" applyFont="1">
      <alignment/>
      <protection/>
    </xf>
    <xf numFmtId="166" fontId="4" fillId="0" borderId="0" xfId="42" applyNumberFormat="1" applyFont="1" applyAlignment="1">
      <alignment horizontal="center" vertical="center"/>
    </xf>
    <xf numFmtId="166" fontId="4" fillId="0" borderId="11" xfId="42" applyNumberFormat="1" applyFont="1" applyBorder="1" applyAlignment="1">
      <alignment horizontal="center" vertical="center"/>
    </xf>
    <xf numFmtId="166" fontId="4" fillId="0" borderId="0" xfId="42" applyNumberFormat="1" applyFont="1" applyBorder="1" applyAlignment="1">
      <alignment horizontal="center" vertical="center"/>
    </xf>
    <xf numFmtId="166" fontId="11" fillId="0" borderId="0" xfId="42" applyNumberFormat="1" applyFont="1" applyAlignment="1">
      <alignment horizontal="right" vertical="center"/>
    </xf>
    <xf numFmtId="166" fontId="4" fillId="0" borderId="10" xfId="42" applyNumberFormat="1" applyFont="1" applyBorder="1" applyAlignment="1">
      <alignment horizontal="center" vertical="center"/>
    </xf>
    <xf numFmtId="166" fontId="11" fillId="0" borderId="0" xfId="42" applyNumberFormat="1" applyFont="1" applyAlignment="1">
      <alignment horizontal="center" vertical="center"/>
    </xf>
    <xf numFmtId="0" fontId="141" fillId="0" borderId="0" xfId="0" applyFont="1" applyAlignment="1">
      <alignment/>
    </xf>
    <xf numFmtId="2" fontId="141" fillId="0" borderId="0" xfId="0" applyNumberFormat="1" applyFont="1" applyAlignment="1">
      <alignment/>
    </xf>
    <xf numFmtId="172" fontId="141" fillId="0" borderId="0" xfId="0" applyNumberFormat="1" applyFont="1" applyAlignment="1">
      <alignment/>
    </xf>
    <xf numFmtId="4" fontId="141" fillId="0" borderId="0" xfId="0" applyNumberFormat="1" applyFont="1" applyAlignment="1">
      <alignment/>
    </xf>
    <xf numFmtId="164" fontId="142" fillId="0" borderId="0" xfId="42" applyNumberFormat="1" applyFont="1" applyAlignment="1">
      <alignment/>
    </xf>
    <xf numFmtId="4" fontId="142" fillId="0" borderId="0" xfId="0" applyNumberFormat="1" applyFont="1" applyAlignment="1">
      <alignment/>
    </xf>
    <xf numFmtId="2" fontId="142" fillId="0" borderId="0" xfId="0" applyNumberFormat="1" applyFont="1" applyAlignment="1">
      <alignment/>
    </xf>
    <xf numFmtId="0" fontId="2" fillId="0" borderId="0" xfId="80" applyFont="1">
      <alignment/>
      <protection/>
    </xf>
    <xf numFmtId="164" fontId="2" fillId="0" borderId="0" xfId="42" applyNumberFormat="1" applyFont="1" applyBorder="1" applyAlignment="1">
      <alignment/>
    </xf>
    <xf numFmtId="165" fontId="2" fillId="0" borderId="0" xfId="42" applyNumberFormat="1" applyFont="1" applyBorder="1" applyAlignment="1">
      <alignment horizontal="right"/>
    </xf>
    <xf numFmtId="165" fontId="2" fillId="0" borderId="0" xfId="42" applyNumberFormat="1" applyFont="1" applyBorder="1" applyAlignment="1">
      <alignment/>
    </xf>
    <xf numFmtId="43" fontId="2" fillId="0" borderId="0" xfId="42" applyFont="1" applyBorder="1" applyAlignment="1">
      <alignment horizontal="right"/>
    </xf>
    <xf numFmtId="165" fontId="24" fillId="0" borderId="0" xfId="42" applyNumberFormat="1" applyFont="1" applyBorder="1" applyAlignment="1">
      <alignment/>
    </xf>
    <xf numFmtId="165" fontId="2" fillId="0" borderId="0" xfId="42" applyNumberFormat="1" applyFont="1" applyBorder="1" applyAlignment="1">
      <alignment horizontal="center"/>
    </xf>
    <xf numFmtId="0" fontId="25" fillId="0" borderId="0" xfId="80" applyFont="1">
      <alignment/>
      <protection/>
    </xf>
    <xf numFmtId="164" fontId="25" fillId="0" borderId="0" xfId="42" applyNumberFormat="1" applyFont="1" applyBorder="1" applyAlignment="1">
      <alignment horizontal="center"/>
    </xf>
    <xf numFmtId="165" fontId="25" fillId="0" borderId="0" xfId="42" applyNumberFormat="1" applyFont="1" applyBorder="1" applyAlignment="1">
      <alignment horizontal="right"/>
    </xf>
    <xf numFmtId="165" fontId="25" fillId="0" borderId="0" xfId="42" applyNumberFormat="1" applyFont="1" applyBorder="1" applyAlignment="1">
      <alignment horizontal="center"/>
    </xf>
    <xf numFmtId="43" fontId="25" fillId="0" borderId="0" xfId="42" applyFont="1" applyBorder="1" applyAlignment="1">
      <alignment horizontal="right"/>
    </xf>
    <xf numFmtId="164" fontId="134" fillId="0" borderId="0" xfId="42" applyNumberFormat="1" applyFont="1" applyAlignment="1">
      <alignment horizontal="right"/>
    </xf>
    <xf numFmtId="165" fontId="133" fillId="0" borderId="0" xfId="42" applyNumberFormat="1" applyFont="1" applyAlignment="1">
      <alignment horizontal="right"/>
    </xf>
    <xf numFmtId="165" fontId="134" fillId="0" borderId="0" xfId="42" applyNumberFormat="1" applyFont="1" applyAlignment="1">
      <alignment horizontal="right"/>
    </xf>
    <xf numFmtId="49" fontId="145" fillId="0" borderId="0" xfId="0" applyNumberFormat="1" applyFont="1" applyAlignment="1">
      <alignment horizontal="left"/>
    </xf>
    <xf numFmtId="164" fontId="145" fillId="0" borderId="0" xfId="42" applyNumberFormat="1" applyFont="1" applyAlignment="1">
      <alignment horizontal="right"/>
    </xf>
    <xf numFmtId="165" fontId="145" fillId="0" borderId="0" xfId="42" applyNumberFormat="1" applyFont="1" applyAlignment="1">
      <alignment horizontal="right"/>
    </xf>
    <xf numFmtId="43" fontId="145" fillId="0" borderId="0" xfId="42" applyFont="1" applyAlignment="1">
      <alignment horizontal="right"/>
    </xf>
    <xf numFmtId="43" fontId="133" fillId="0" borderId="0" xfId="42" applyFont="1" applyAlignment="1">
      <alignment/>
    </xf>
    <xf numFmtId="165" fontId="134" fillId="0" borderId="0" xfId="42" applyNumberFormat="1" applyFont="1" applyAlignment="1">
      <alignment/>
    </xf>
    <xf numFmtId="43" fontId="134" fillId="0" borderId="0" xfId="42" applyFont="1" applyAlignment="1">
      <alignment/>
    </xf>
    <xf numFmtId="49" fontId="134" fillId="0" borderId="0" xfId="0" applyNumberFormat="1" applyFont="1" applyAlignment="1">
      <alignment horizontal="left"/>
    </xf>
    <xf numFmtId="164" fontId="146" fillId="0" borderId="0" xfId="42" applyNumberFormat="1" applyFont="1" applyAlignment="1">
      <alignment horizontal="right"/>
    </xf>
    <xf numFmtId="165" fontId="146" fillId="0" borderId="0" xfId="42" applyNumberFormat="1" applyFont="1" applyAlignment="1">
      <alignment horizontal="right"/>
    </xf>
    <xf numFmtId="43" fontId="146" fillId="0" borderId="0" xfId="42" applyFont="1" applyAlignment="1">
      <alignment horizontal="right"/>
    </xf>
    <xf numFmtId="164" fontId="133" fillId="0" borderId="0" xfId="42" applyNumberFormat="1" applyFont="1" applyAlignment="1">
      <alignment/>
    </xf>
    <xf numFmtId="164" fontId="133" fillId="0" borderId="0" xfId="42" applyNumberFormat="1" applyFont="1" applyAlignment="1">
      <alignment horizontal="left"/>
    </xf>
    <xf numFmtId="165" fontId="133" fillId="0" borderId="0" xfId="42" applyNumberFormat="1" applyFont="1" applyAlignment="1">
      <alignment horizontal="left"/>
    </xf>
    <xf numFmtId="165" fontId="2" fillId="33" borderId="0" xfId="42" applyNumberFormat="1" applyFont="1" applyFill="1" applyBorder="1" applyAlignment="1">
      <alignment horizontal="left"/>
    </xf>
    <xf numFmtId="165" fontId="2" fillId="33" borderId="0" xfId="42" applyNumberFormat="1" applyFont="1" applyFill="1" applyBorder="1" applyAlignment="1">
      <alignment horizontal="right"/>
    </xf>
    <xf numFmtId="165" fontId="0" fillId="0" borderId="0" xfId="42" applyNumberFormat="1" applyFont="1" applyAlignment="1">
      <alignment horizontal="right"/>
    </xf>
    <xf numFmtId="165" fontId="126" fillId="0" borderId="0" xfId="42" applyNumberFormat="1" applyFont="1" applyAlignment="1">
      <alignment horizontal="right"/>
    </xf>
    <xf numFmtId="1" fontId="134" fillId="0" borderId="0" xfId="0" applyNumberFormat="1" applyFont="1" applyAlignment="1">
      <alignment/>
    </xf>
    <xf numFmtId="3" fontId="134" fillId="0" borderId="0" xfId="0" applyNumberFormat="1" applyFont="1" applyAlignment="1">
      <alignment/>
    </xf>
    <xf numFmtId="164" fontId="11" fillId="0" borderId="0" xfId="49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164" fontId="12" fillId="0" borderId="0" xfId="49" applyNumberFormat="1" applyFont="1" applyBorder="1" applyAlignment="1">
      <alignment horizontal="left" vertical="center"/>
    </xf>
    <xf numFmtId="165" fontId="12" fillId="0" borderId="0" xfId="42" applyNumberFormat="1" applyFont="1" applyBorder="1" applyAlignment="1">
      <alignment vertical="center"/>
    </xf>
    <xf numFmtId="43" fontId="12" fillId="0" borderId="0" xfId="42" applyFont="1" applyBorder="1" applyAlignment="1">
      <alignment horizontal="right" vertical="center"/>
    </xf>
    <xf numFmtId="166" fontId="12" fillId="0" borderId="0" xfId="42" applyNumberFormat="1" applyFont="1" applyBorder="1" applyAlignment="1">
      <alignment horizontal="center" vertical="center"/>
    </xf>
    <xf numFmtId="1" fontId="145" fillId="0" borderId="0" xfId="0" applyNumberFormat="1" applyFont="1" applyAlignment="1">
      <alignment/>
    </xf>
    <xf numFmtId="165" fontId="145" fillId="0" borderId="0" xfId="42" applyNumberFormat="1" applyFont="1" applyAlignment="1">
      <alignment/>
    </xf>
    <xf numFmtId="0" fontId="0" fillId="0" borderId="0" xfId="0" applyAlignment="1">
      <alignment/>
    </xf>
    <xf numFmtId="1" fontId="139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139" fillId="0" borderId="0" xfId="42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2" fontId="134" fillId="0" borderId="0" xfId="0" applyNumberFormat="1" applyFont="1" applyAlignment="1">
      <alignment/>
    </xf>
    <xf numFmtId="0" fontId="78" fillId="0" borderId="0" xfId="0" applyFont="1" applyAlignment="1">
      <alignment/>
    </xf>
    <xf numFmtId="165" fontId="78" fillId="0" borderId="0" xfId="49" applyNumberFormat="1" applyFont="1" applyAlignment="1">
      <alignment horizontal="left"/>
    </xf>
    <xf numFmtId="43" fontId="78" fillId="0" borderId="0" xfId="49" applyFont="1" applyAlignment="1">
      <alignment/>
    </xf>
    <xf numFmtId="165" fontId="78" fillId="0" borderId="0" xfId="49" applyNumberFormat="1" applyFont="1" applyAlignment="1">
      <alignment/>
    </xf>
    <xf numFmtId="43" fontId="78" fillId="0" borderId="0" xfId="49" applyFont="1" applyAlignment="1">
      <alignment horizontal="right"/>
    </xf>
    <xf numFmtId="43" fontId="78" fillId="0" borderId="0" xfId="49" applyFont="1" applyAlignment="1">
      <alignment horizontal="left"/>
    </xf>
    <xf numFmtId="0" fontId="78" fillId="0" borderId="0" xfId="0" applyFont="1" applyAlignment="1">
      <alignment horizontal="center"/>
    </xf>
    <xf numFmtId="43" fontId="78" fillId="0" borderId="0" xfId="49" applyFont="1" applyAlignment="1">
      <alignment horizontal="center"/>
    </xf>
    <xf numFmtId="165" fontId="78" fillId="0" borderId="0" xfId="49" applyNumberFormat="1" applyFont="1" applyAlignment="1">
      <alignment horizontal="center"/>
    </xf>
    <xf numFmtId="0" fontId="78" fillId="0" borderId="0" xfId="0" applyFont="1" applyAlignment="1">
      <alignment horizontal="left"/>
    </xf>
    <xf numFmtId="0" fontId="79" fillId="0" borderId="0" xfId="0" applyFont="1" applyAlignment="1">
      <alignment/>
    </xf>
    <xf numFmtId="165" fontId="78" fillId="0" borderId="10" xfId="49" applyNumberFormat="1" applyFont="1" applyBorder="1" applyAlignment="1">
      <alignment horizontal="left"/>
    </xf>
    <xf numFmtId="0" fontId="79" fillId="0" borderId="0" xfId="0" applyFont="1" applyAlignment="1">
      <alignment horizontal="left"/>
    </xf>
    <xf numFmtId="165" fontId="79" fillId="0" borderId="0" xfId="49" applyNumberFormat="1" applyFont="1" applyAlignment="1">
      <alignment horizontal="right"/>
    </xf>
    <xf numFmtId="43" fontId="79" fillId="0" borderId="0" xfId="49" applyFont="1" applyBorder="1" applyAlignment="1">
      <alignment horizontal="right"/>
    </xf>
    <xf numFmtId="0" fontId="78" fillId="0" borderId="0" xfId="0" applyFont="1" applyBorder="1" applyAlignment="1">
      <alignment horizontal="left"/>
    </xf>
    <xf numFmtId="0" fontId="78" fillId="0" borderId="0" xfId="0" applyFont="1" applyBorder="1" applyAlignment="1">
      <alignment/>
    </xf>
    <xf numFmtId="165" fontId="78" fillId="0" borderId="0" xfId="49" applyNumberFormat="1" applyFont="1" applyBorder="1" applyAlignment="1">
      <alignment horizontal="center"/>
    </xf>
    <xf numFmtId="43" fontId="78" fillId="0" borderId="0" xfId="49" applyFont="1" applyBorder="1" applyAlignment="1">
      <alignment horizontal="center"/>
    </xf>
    <xf numFmtId="165" fontId="78" fillId="0" borderId="0" xfId="49" applyNumberFormat="1" applyFont="1" applyBorder="1" applyAlignment="1">
      <alignment horizontal="right"/>
    </xf>
    <xf numFmtId="43" fontId="78" fillId="0" borderId="0" xfId="49" applyFont="1" applyBorder="1" applyAlignment="1">
      <alignment horizontal="right"/>
    </xf>
    <xf numFmtId="165" fontId="80" fillId="0" borderId="0" xfId="49" applyNumberFormat="1" applyFont="1" applyBorder="1" applyAlignment="1">
      <alignment horizontal="center"/>
    </xf>
    <xf numFmtId="43" fontId="80" fillId="0" borderId="0" xfId="49" applyFont="1" applyBorder="1" applyAlignment="1">
      <alignment horizontal="center"/>
    </xf>
    <xf numFmtId="165" fontId="80" fillId="0" borderId="0" xfId="49" applyNumberFormat="1" applyFont="1" applyBorder="1" applyAlignment="1">
      <alignment horizontal="right"/>
    </xf>
    <xf numFmtId="43" fontId="80" fillId="0" borderId="0" xfId="49" applyFont="1" applyBorder="1" applyAlignment="1">
      <alignment horizontal="right"/>
    </xf>
    <xf numFmtId="0" fontId="79" fillId="0" borderId="0" xfId="0" applyFont="1" applyBorder="1" applyAlignment="1">
      <alignment horizontal="left"/>
    </xf>
    <xf numFmtId="0" fontId="79" fillId="0" borderId="0" xfId="0" applyFont="1" applyBorder="1" applyAlignment="1">
      <alignment/>
    </xf>
    <xf numFmtId="165" fontId="79" fillId="0" borderId="0" xfId="49" applyNumberFormat="1" applyFont="1" applyBorder="1" applyAlignment="1">
      <alignment horizontal="center"/>
    </xf>
    <xf numFmtId="43" fontId="79" fillId="0" borderId="0" xfId="49" applyFont="1" applyBorder="1" applyAlignment="1">
      <alignment horizontal="center"/>
    </xf>
    <xf numFmtId="165" fontId="79" fillId="0" borderId="0" xfId="49" applyNumberFormat="1" applyFont="1" applyBorder="1" applyAlignment="1">
      <alignment horizontal="right"/>
    </xf>
    <xf numFmtId="165" fontId="80" fillId="0" borderId="0" xfId="42" applyNumberFormat="1" applyFont="1" applyBorder="1" applyAlignment="1">
      <alignment horizontal="right"/>
    </xf>
    <xf numFmtId="43" fontId="80" fillId="0" borderId="0" xfId="42" applyFont="1" applyBorder="1" applyAlignment="1">
      <alignment horizontal="right"/>
    </xf>
    <xf numFmtId="43" fontId="26" fillId="0" borderId="0" xfId="49" applyFont="1" applyAlignment="1">
      <alignment/>
    </xf>
    <xf numFmtId="165" fontId="78" fillId="0" borderId="0" xfId="49" applyNumberFormat="1" applyFont="1" applyAlignment="1">
      <alignment horizontal="right"/>
    </xf>
    <xf numFmtId="0" fontId="78" fillId="0" borderId="0" xfId="0" applyFont="1" applyBorder="1" applyAlignment="1">
      <alignment horizontal="right"/>
    </xf>
    <xf numFmtId="165" fontId="78" fillId="0" borderId="0" xfId="42" applyNumberFormat="1" applyFont="1" applyBorder="1" applyAlignment="1">
      <alignment horizontal="right"/>
    </xf>
    <xf numFmtId="43" fontId="78" fillId="0" borderId="0" xfId="42" applyFont="1" applyBorder="1" applyAlignment="1">
      <alignment horizontal="right"/>
    </xf>
    <xf numFmtId="0" fontId="78" fillId="0" borderId="0" xfId="0" applyFont="1" applyAlignment="1">
      <alignment horizontal="right"/>
    </xf>
    <xf numFmtId="165" fontId="147" fillId="0" borderId="0" xfId="42" applyNumberFormat="1" applyFont="1" applyAlignment="1">
      <alignment/>
    </xf>
    <xf numFmtId="164" fontId="78" fillId="0" borderId="0" xfId="42" applyNumberFormat="1" applyFont="1" applyBorder="1" applyAlignment="1">
      <alignment horizontal="right"/>
    </xf>
    <xf numFmtId="0" fontId="148" fillId="0" borderId="0" xfId="0" applyFont="1" applyAlignment="1">
      <alignment/>
    </xf>
    <xf numFmtId="0" fontId="149" fillId="0" borderId="0" xfId="0" applyFont="1" applyAlignment="1">
      <alignment/>
    </xf>
    <xf numFmtId="164" fontId="80" fillId="0" borderId="0" xfId="42" applyNumberFormat="1" applyFont="1" applyBorder="1" applyAlignment="1">
      <alignment horizontal="right"/>
    </xf>
    <xf numFmtId="164" fontId="79" fillId="0" borderId="0" xfId="42" applyNumberFormat="1" applyFont="1" applyBorder="1" applyAlignment="1">
      <alignment horizontal="right"/>
    </xf>
    <xf numFmtId="165" fontId="79" fillId="0" borderId="0" xfId="42" applyNumberFormat="1" applyFont="1" applyBorder="1" applyAlignment="1">
      <alignment horizontal="right"/>
    </xf>
    <xf numFmtId="43" fontId="79" fillId="0" borderId="0" xfId="42" applyFont="1" applyBorder="1" applyAlignment="1">
      <alignment horizontal="right"/>
    </xf>
    <xf numFmtId="43" fontId="79" fillId="0" borderId="0" xfId="42" applyFont="1" applyAlignment="1">
      <alignment horizontal="right"/>
    </xf>
    <xf numFmtId="10" fontId="79" fillId="0" borderId="0" xfId="85" applyNumberFormat="1" applyFont="1" applyAlignment="1">
      <alignment horizontal="right"/>
    </xf>
    <xf numFmtId="164" fontId="78" fillId="0" borderId="0" xfId="42" applyNumberFormat="1" applyFont="1" applyAlignment="1">
      <alignment horizontal="right"/>
    </xf>
    <xf numFmtId="165" fontId="78" fillId="0" borderId="0" xfId="42" applyNumberFormat="1" applyFont="1" applyAlignment="1">
      <alignment horizontal="right"/>
    </xf>
    <xf numFmtId="164" fontId="149" fillId="0" borderId="0" xfId="42" applyNumberFormat="1" applyFont="1" applyAlignment="1">
      <alignment vertical="center"/>
    </xf>
    <xf numFmtId="165" fontId="149" fillId="0" borderId="0" xfId="42" applyNumberFormat="1" applyFont="1" applyAlignment="1">
      <alignment vertical="center"/>
    </xf>
    <xf numFmtId="43" fontId="78" fillId="0" borderId="0" xfId="42" applyFont="1" applyAlignment="1">
      <alignment horizontal="right"/>
    </xf>
    <xf numFmtId="10" fontId="78" fillId="0" borderId="0" xfId="85" applyNumberFormat="1" applyFont="1" applyAlignment="1">
      <alignment horizontal="right"/>
    </xf>
    <xf numFmtId="0" fontId="149" fillId="0" borderId="0" xfId="0" applyFont="1" applyBorder="1" applyAlignment="1">
      <alignment vertical="center"/>
    </xf>
    <xf numFmtId="0" fontId="149" fillId="0" borderId="0" xfId="0" applyFont="1" applyAlignment="1">
      <alignment vertical="center"/>
    </xf>
    <xf numFmtId="0" fontId="148" fillId="0" borderId="0" xfId="0" applyFont="1" applyAlignment="1">
      <alignment vertical="center"/>
    </xf>
    <xf numFmtId="165" fontId="148" fillId="0" borderId="0" xfId="42" applyNumberFormat="1" applyFont="1" applyAlignment="1">
      <alignment vertical="center"/>
    </xf>
    <xf numFmtId="43" fontId="148" fillId="0" borderId="0" xfId="42" applyFont="1" applyAlignment="1">
      <alignment vertical="center"/>
    </xf>
    <xf numFmtId="10" fontId="148" fillId="0" borderId="0" xfId="85" applyNumberFormat="1" applyFont="1" applyAlignment="1">
      <alignment vertical="center"/>
    </xf>
    <xf numFmtId="0" fontId="126" fillId="0" borderId="0" xfId="0" applyFont="1" applyAlignment="1">
      <alignment vertical="center"/>
    </xf>
    <xf numFmtId="0" fontId="79" fillId="0" borderId="0" xfId="0" applyFont="1" applyBorder="1" applyAlignment="1">
      <alignment horizontal="right"/>
    </xf>
    <xf numFmtId="164" fontId="80" fillId="0" borderId="0" xfId="49" applyNumberFormat="1" applyFont="1" applyBorder="1" applyAlignment="1">
      <alignment horizontal="right"/>
    </xf>
    <xf numFmtId="164" fontId="79" fillId="0" borderId="0" xfId="49" applyNumberFormat="1" applyFont="1" applyBorder="1" applyAlignment="1">
      <alignment horizontal="right" vertical="center"/>
    </xf>
    <xf numFmtId="43" fontId="78" fillId="0" borderId="0" xfId="49" applyFont="1" applyBorder="1" applyAlignment="1">
      <alignment/>
    </xf>
    <xf numFmtId="43" fontId="26" fillId="0" borderId="0" xfId="49" applyFont="1" applyBorder="1" applyAlignment="1">
      <alignment/>
    </xf>
    <xf numFmtId="43" fontId="26" fillId="0" borderId="0" xfId="49" applyFont="1" applyBorder="1" applyAlignment="1">
      <alignment horizontal="right" vertical="center"/>
    </xf>
    <xf numFmtId="165" fontId="28" fillId="0" borderId="0" xfId="49" applyNumberFormat="1" applyFont="1" applyBorder="1" applyAlignment="1">
      <alignment horizontal="right" vertical="center"/>
    </xf>
    <xf numFmtId="164" fontId="150" fillId="0" borderId="0" xfId="49" applyNumberFormat="1" applyFont="1" applyBorder="1" applyAlignment="1">
      <alignment horizontal="right" vertical="center"/>
    </xf>
    <xf numFmtId="43" fontId="151" fillId="0" borderId="0" xfId="49" applyFont="1" applyBorder="1" applyAlignment="1">
      <alignment vertical="center"/>
    </xf>
    <xf numFmtId="10" fontId="152" fillId="0" borderId="0" xfId="86" applyNumberFormat="1" applyFont="1" applyBorder="1" applyAlignment="1">
      <alignment vertical="center"/>
    </xf>
    <xf numFmtId="165" fontId="148" fillId="0" borderId="0" xfId="42" applyNumberFormat="1" applyFont="1" applyBorder="1" applyAlignment="1">
      <alignment/>
    </xf>
    <xf numFmtId="165" fontId="27" fillId="0" borderId="0" xfId="42" applyNumberFormat="1" applyFont="1" applyBorder="1" applyAlignment="1">
      <alignment vertical="center"/>
    </xf>
    <xf numFmtId="43" fontId="79" fillId="0" borderId="0" xfId="42" applyFont="1" applyBorder="1" applyAlignment="1">
      <alignment horizontal="right" vertical="center"/>
    </xf>
    <xf numFmtId="0" fontId="78" fillId="0" borderId="0" xfId="0" applyFont="1" applyBorder="1" applyAlignment="1">
      <alignment horizontal="left" vertical="center"/>
    </xf>
    <xf numFmtId="164" fontId="153" fillId="0" borderId="0" xfId="49" applyNumberFormat="1" applyFont="1" applyBorder="1" applyAlignment="1">
      <alignment horizontal="right" vertical="center"/>
    </xf>
    <xf numFmtId="165" fontId="153" fillId="0" borderId="0" xfId="49" applyNumberFormat="1" applyFont="1" applyBorder="1" applyAlignment="1">
      <alignment horizontal="right" vertical="center"/>
    </xf>
    <xf numFmtId="43" fontId="153" fillId="0" borderId="0" xfId="49" applyFont="1" applyBorder="1" applyAlignment="1">
      <alignment horizontal="right" vertical="center"/>
    </xf>
    <xf numFmtId="10" fontId="154" fillId="0" borderId="0" xfId="86" applyNumberFormat="1" applyFont="1" applyBorder="1" applyAlignment="1">
      <alignment horizontal="right" vertical="center"/>
    </xf>
    <xf numFmtId="43" fontId="79" fillId="0" borderId="0" xfId="49" applyFont="1" applyBorder="1" applyAlignment="1">
      <alignment/>
    </xf>
    <xf numFmtId="43" fontId="151" fillId="0" borderId="0" xfId="42" applyFont="1" applyBorder="1" applyAlignment="1">
      <alignment vertical="center"/>
    </xf>
    <xf numFmtId="165" fontId="151" fillId="0" borderId="0" xfId="42" applyNumberFormat="1" applyFont="1" applyBorder="1" applyAlignment="1">
      <alignment vertical="center"/>
    </xf>
    <xf numFmtId="164" fontId="151" fillId="0" borderId="0" xfId="42" applyNumberFormat="1" applyFont="1" applyBorder="1" applyAlignment="1">
      <alignment vertical="center"/>
    </xf>
    <xf numFmtId="165" fontId="79" fillId="0" borderId="0" xfId="42" applyNumberFormat="1" applyFont="1" applyBorder="1" applyAlignment="1">
      <alignment horizontal="center"/>
    </xf>
    <xf numFmtId="49" fontId="155" fillId="0" borderId="0" xfId="0" applyNumberFormat="1" applyFont="1" applyAlignment="1">
      <alignment/>
    </xf>
    <xf numFmtId="1" fontId="156" fillId="0" borderId="0" xfId="0" applyNumberFormat="1" applyFont="1" applyAlignment="1">
      <alignment/>
    </xf>
    <xf numFmtId="165" fontId="156" fillId="0" borderId="0" xfId="42" applyNumberFormat="1" applyFont="1" applyAlignment="1">
      <alignment/>
    </xf>
    <xf numFmtId="165" fontId="156" fillId="0" borderId="0" xfId="42" applyNumberFormat="1" applyFont="1" applyAlignment="1">
      <alignment/>
    </xf>
    <xf numFmtId="43" fontId="156" fillId="0" borderId="0" xfId="42" applyFont="1" applyAlignment="1">
      <alignment horizontal="right"/>
    </xf>
    <xf numFmtId="3" fontId="156" fillId="0" borderId="0" xfId="0" applyNumberFormat="1" applyFont="1" applyAlignment="1">
      <alignment/>
    </xf>
    <xf numFmtId="165" fontId="156" fillId="0" borderId="0" xfId="42" applyNumberFormat="1" applyFont="1" applyAlignment="1">
      <alignment horizontal="right"/>
    </xf>
    <xf numFmtId="43" fontId="150" fillId="0" borderId="0" xfId="42" applyFont="1" applyBorder="1" applyAlignment="1">
      <alignment horizontal="right" vertical="center"/>
    </xf>
    <xf numFmtId="10" fontId="79" fillId="0" borderId="0" xfId="85" applyNumberFormat="1" applyFont="1" applyBorder="1" applyAlignment="1">
      <alignment/>
    </xf>
    <xf numFmtId="165" fontId="91" fillId="0" borderId="0" xfId="42" applyNumberFormat="1" applyFont="1" applyBorder="1" applyAlignment="1">
      <alignment horizontal="right"/>
    </xf>
    <xf numFmtId="1" fontId="157" fillId="0" borderId="0" xfId="0" applyNumberFormat="1" applyFont="1" applyAlignment="1">
      <alignment/>
    </xf>
    <xf numFmtId="165" fontId="157" fillId="0" borderId="0" xfId="42" applyNumberFormat="1" applyFont="1" applyAlignment="1">
      <alignment/>
    </xf>
    <xf numFmtId="165" fontId="157" fillId="0" borderId="0" xfId="42" applyNumberFormat="1" applyFont="1" applyAlignment="1">
      <alignment/>
    </xf>
    <xf numFmtId="43" fontId="157" fillId="0" borderId="0" xfId="42" applyFont="1" applyAlignment="1">
      <alignment horizontal="right"/>
    </xf>
    <xf numFmtId="0" fontId="158" fillId="0" borderId="0" xfId="0" applyFont="1" applyAlignment="1">
      <alignment/>
    </xf>
    <xf numFmtId="3" fontId="157" fillId="0" borderId="0" xfId="0" applyNumberFormat="1" applyFont="1" applyAlignment="1">
      <alignment/>
    </xf>
    <xf numFmtId="165" fontId="157" fillId="0" borderId="0" xfId="42" applyNumberFormat="1" applyFont="1" applyAlignment="1">
      <alignment horizontal="right"/>
    </xf>
    <xf numFmtId="164" fontId="80" fillId="0" borderId="0" xfId="49" applyNumberFormat="1" applyFont="1" applyBorder="1" applyAlignment="1">
      <alignment horizontal="right" vertical="center"/>
    </xf>
    <xf numFmtId="165" fontId="78" fillId="0" borderId="0" xfId="49" applyNumberFormat="1" applyFont="1" applyBorder="1" applyAlignment="1">
      <alignment horizontal="right" vertical="center"/>
    </xf>
    <xf numFmtId="43" fontId="78" fillId="0" borderId="0" xfId="49" applyFont="1" applyBorder="1" applyAlignment="1">
      <alignment horizontal="right" vertical="center"/>
    </xf>
    <xf numFmtId="165" fontId="149" fillId="0" borderId="0" xfId="42" applyNumberFormat="1" applyFont="1" applyBorder="1" applyAlignment="1">
      <alignment vertical="center"/>
    </xf>
    <xf numFmtId="43" fontId="26" fillId="0" borderId="0" xfId="42" applyFont="1" applyBorder="1" applyAlignment="1">
      <alignment horizontal="right" vertical="center"/>
    </xf>
    <xf numFmtId="165" fontId="159" fillId="0" borderId="0" xfId="42" applyNumberFormat="1" applyFont="1" applyAlignment="1">
      <alignment vertical="center"/>
    </xf>
    <xf numFmtId="43" fontId="153" fillId="0" borderId="0" xfId="42" applyFont="1" applyBorder="1" applyAlignment="1">
      <alignment horizontal="right" vertical="center"/>
    </xf>
    <xf numFmtId="164" fontId="78" fillId="0" borderId="0" xfId="42" applyNumberFormat="1" applyFont="1" applyBorder="1" applyAlignment="1">
      <alignment/>
    </xf>
    <xf numFmtId="165" fontId="78" fillId="0" borderId="0" xfId="42" applyNumberFormat="1" applyFont="1" applyBorder="1" applyAlignment="1">
      <alignment horizontal="center"/>
    </xf>
    <xf numFmtId="43" fontId="78" fillId="0" borderId="0" xfId="42" applyFont="1" applyBorder="1" applyAlignment="1">
      <alignment horizontal="center"/>
    </xf>
    <xf numFmtId="10" fontId="78" fillId="0" borderId="0" xfId="85" applyNumberFormat="1" applyFont="1" applyBorder="1" applyAlignment="1">
      <alignment/>
    </xf>
    <xf numFmtId="165" fontId="160" fillId="0" borderId="0" xfId="42" applyNumberFormat="1" applyFont="1" applyBorder="1" applyAlignment="1">
      <alignment vertical="center"/>
    </xf>
    <xf numFmtId="164" fontId="160" fillId="0" borderId="0" xfId="42" applyNumberFormat="1" applyFont="1" applyBorder="1" applyAlignment="1">
      <alignment vertical="center"/>
    </xf>
    <xf numFmtId="164" fontId="91" fillId="0" borderId="0" xfId="42" applyNumberFormat="1" applyFont="1" applyBorder="1" applyAlignment="1">
      <alignment horizontal="right"/>
    </xf>
    <xf numFmtId="43" fontId="91" fillId="0" borderId="0" xfId="42" applyFont="1" applyBorder="1" applyAlignment="1">
      <alignment horizontal="right"/>
    </xf>
    <xf numFmtId="43" fontId="91" fillId="0" borderId="0" xfId="49" applyFont="1" applyBorder="1" applyAlignment="1">
      <alignment horizontal="right"/>
    </xf>
    <xf numFmtId="10" fontId="96" fillId="0" borderId="0" xfId="85" applyNumberFormat="1" applyFont="1" applyBorder="1" applyAlignment="1">
      <alignment horizontal="right"/>
    </xf>
    <xf numFmtId="43" fontId="78" fillId="0" borderId="0" xfId="42" applyFont="1" applyAlignment="1">
      <alignment/>
    </xf>
    <xf numFmtId="164" fontId="78" fillId="0" borderId="0" xfId="42" applyNumberFormat="1" applyFont="1" applyAlignment="1">
      <alignment/>
    </xf>
    <xf numFmtId="10" fontId="78" fillId="0" borderId="0" xfId="85" applyNumberFormat="1" applyFont="1" applyAlignment="1">
      <alignment/>
    </xf>
    <xf numFmtId="165" fontId="80" fillId="0" borderId="0" xfId="49" applyNumberFormat="1" applyFont="1" applyAlignment="1">
      <alignment horizontal="right"/>
    </xf>
    <xf numFmtId="43" fontId="79" fillId="0" borderId="0" xfId="49" applyFont="1" applyAlignment="1">
      <alignment/>
    </xf>
    <xf numFmtId="0" fontId="79" fillId="0" borderId="0" xfId="0" applyFont="1" applyAlignment="1">
      <alignment horizontal="right"/>
    </xf>
    <xf numFmtId="164" fontId="80" fillId="0" borderId="0" xfId="42" applyNumberFormat="1" applyFont="1" applyAlignment="1">
      <alignment/>
    </xf>
    <xf numFmtId="165" fontId="80" fillId="0" borderId="0" xfId="42" applyNumberFormat="1" applyFont="1" applyAlignment="1">
      <alignment horizontal="right"/>
    </xf>
    <xf numFmtId="164" fontId="80" fillId="0" borderId="0" xfId="42" applyNumberFormat="1" applyFont="1" applyAlignment="1">
      <alignment horizontal="right"/>
    </xf>
    <xf numFmtId="43" fontId="80" fillId="0" borderId="0" xfId="42" applyFont="1" applyAlignment="1">
      <alignment/>
    </xf>
    <xf numFmtId="10" fontId="80" fillId="0" borderId="0" xfId="85" applyNumberFormat="1" applyFont="1" applyAlignment="1">
      <alignment/>
    </xf>
    <xf numFmtId="0" fontId="161" fillId="0" borderId="0" xfId="0" applyFont="1" applyAlignment="1">
      <alignment/>
    </xf>
    <xf numFmtId="165" fontId="161" fillId="0" borderId="0" xfId="42" applyNumberFormat="1" applyFont="1" applyAlignment="1">
      <alignment horizontal="right"/>
    </xf>
    <xf numFmtId="43" fontId="161" fillId="0" borderId="0" xfId="42" applyFont="1" applyAlignment="1">
      <alignment horizontal="right"/>
    </xf>
    <xf numFmtId="164" fontId="161" fillId="0" borderId="0" xfId="42" applyNumberFormat="1" applyFont="1" applyAlignment="1">
      <alignment/>
    </xf>
    <xf numFmtId="165" fontId="161" fillId="0" borderId="0" xfId="42" applyNumberFormat="1" applyFont="1" applyAlignment="1">
      <alignment/>
    </xf>
    <xf numFmtId="0" fontId="29" fillId="0" borderId="0" xfId="80" applyFont="1">
      <alignment/>
      <protection/>
    </xf>
    <xf numFmtId="164" fontId="29" fillId="0" borderId="0" xfId="42" applyNumberFormat="1" applyFont="1" applyBorder="1" applyAlignment="1">
      <alignment/>
    </xf>
    <xf numFmtId="165" fontId="29" fillId="0" borderId="0" xfId="42" applyNumberFormat="1" applyFont="1" applyBorder="1" applyAlignment="1">
      <alignment horizontal="right"/>
    </xf>
    <xf numFmtId="165" fontId="29" fillId="0" borderId="0" xfId="42" applyNumberFormat="1" applyFont="1" applyBorder="1" applyAlignment="1">
      <alignment/>
    </xf>
    <xf numFmtId="43" fontId="29" fillId="0" borderId="0" xfId="42" applyFont="1" applyBorder="1" applyAlignment="1">
      <alignment horizontal="right"/>
    </xf>
    <xf numFmtId="165" fontId="30" fillId="0" borderId="0" xfId="42" applyNumberFormat="1" applyFont="1" applyBorder="1" applyAlignment="1">
      <alignment/>
    </xf>
    <xf numFmtId="165" fontId="29" fillId="0" borderId="0" xfId="42" applyNumberFormat="1" applyFont="1" applyBorder="1" applyAlignment="1">
      <alignment horizontal="center"/>
    </xf>
    <xf numFmtId="0" fontId="31" fillId="0" borderId="0" xfId="80" applyFont="1">
      <alignment/>
      <protection/>
    </xf>
    <xf numFmtId="164" fontId="31" fillId="0" borderId="0" xfId="42" applyNumberFormat="1" applyFont="1" applyBorder="1" applyAlignment="1">
      <alignment horizontal="center"/>
    </xf>
    <xf numFmtId="165" fontId="31" fillId="0" borderId="0" xfId="42" applyNumberFormat="1" applyFont="1" applyBorder="1" applyAlignment="1">
      <alignment horizontal="right"/>
    </xf>
    <xf numFmtId="165" fontId="31" fillId="0" borderId="0" xfId="42" applyNumberFormat="1" applyFont="1" applyBorder="1" applyAlignment="1">
      <alignment horizontal="center"/>
    </xf>
    <xf numFmtId="43" fontId="31" fillId="0" borderId="0" xfId="42" applyFont="1" applyBorder="1" applyAlignment="1">
      <alignment horizontal="right"/>
    </xf>
    <xf numFmtId="0" fontId="162" fillId="0" borderId="0" xfId="0" applyFont="1" applyAlignment="1">
      <alignment/>
    </xf>
    <xf numFmtId="164" fontId="163" fillId="0" borderId="0" xfId="42" applyNumberFormat="1" applyFont="1" applyAlignment="1">
      <alignment horizontal="right"/>
    </xf>
    <xf numFmtId="165" fontId="162" fillId="0" borderId="0" xfId="42" applyNumberFormat="1" applyFont="1" applyAlignment="1">
      <alignment horizontal="right"/>
    </xf>
    <xf numFmtId="165" fontId="163" fillId="0" borderId="0" xfId="42" applyNumberFormat="1" applyFont="1" applyAlignment="1">
      <alignment horizontal="right"/>
    </xf>
    <xf numFmtId="43" fontId="162" fillId="0" borderId="0" xfId="42" applyFont="1" applyAlignment="1">
      <alignment horizontal="right"/>
    </xf>
    <xf numFmtId="49" fontId="164" fillId="0" borderId="0" xfId="0" applyNumberFormat="1" applyFont="1" applyAlignment="1">
      <alignment horizontal="left"/>
    </xf>
    <xf numFmtId="164" fontId="164" fillId="0" borderId="0" xfId="42" applyNumberFormat="1" applyFont="1" applyAlignment="1">
      <alignment horizontal="right"/>
    </xf>
    <xf numFmtId="165" fontId="164" fillId="0" borderId="0" xfId="42" applyNumberFormat="1" applyFont="1" applyAlignment="1">
      <alignment horizontal="right"/>
    </xf>
    <xf numFmtId="43" fontId="164" fillId="0" borderId="0" xfId="42" applyFont="1" applyAlignment="1">
      <alignment horizontal="right"/>
    </xf>
    <xf numFmtId="49" fontId="163" fillId="0" borderId="0" xfId="0" applyNumberFormat="1" applyFont="1" applyAlignment="1">
      <alignment/>
    </xf>
    <xf numFmtId="43" fontId="162" fillId="0" borderId="0" xfId="42" applyFont="1" applyAlignment="1">
      <alignment/>
    </xf>
    <xf numFmtId="164" fontId="163" fillId="0" borderId="0" xfId="42" applyNumberFormat="1" applyFont="1" applyAlignment="1">
      <alignment/>
    </xf>
    <xf numFmtId="165" fontId="163" fillId="0" borderId="0" xfId="42" applyNumberFormat="1" applyFont="1" applyAlignment="1">
      <alignment/>
    </xf>
    <xf numFmtId="43" fontId="163" fillId="0" borderId="0" xfId="42" applyFont="1" applyAlignment="1">
      <alignment/>
    </xf>
    <xf numFmtId="43" fontId="163" fillId="0" borderId="0" xfId="42" applyFont="1" applyAlignment="1">
      <alignment horizontal="right"/>
    </xf>
    <xf numFmtId="1" fontId="163" fillId="0" borderId="0" xfId="0" applyNumberFormat="1" applyFont="1" applyAlignment="1">
      <alignment/>
    </xf>
    <xf numFmtId="165" fontId="163" fillId="0" borderId="0" xfId="42" applyNumberFormat="1" applyFont="1" applyAlignment="1">
      <alignment/>
    </xf>
    <xf numFmtId="3" fontId="163" fillId="0" borderId="0" xfId="0" applyNumberFormat="1" applyFont="1" applyAlignment="1">
      <alignment/>
    </xf>
    <xf numFmtId="49" fontId="163" fillId="0" borderId="0" xfId="0" applyNumberFormat="1" applyFont="1" applyAlignment="1">
      <alignment horizontal="left"/>
    </xf>
    <xf numFmtId="164" fontId="162" fillId="0" borderId="0" xfId="42" applyNumberFormat="1" applyFont="1" applyAlignment="1">
      <alignment/>
    </xf>
    <xf numFmtId="165" fontId="162" fillId="0" borderId="0" xfId="42" applyNumberFormat="1" applyFont="1" applyAlignment="1">
      <alignment/>
    </xf>
    <xf numFmtId="164" fontId="162" fillId="0" borderId="0" xfId="42" applyNumberFormat="1" applyFont="1" applyAlignment="1">
      <alignment horizontal="left"/>
    </xf>
    <xf numFmtId="165" fontId="29" fillId="33" borderId="0" xfId="42" applyNumberFormat="1" applyFont="1" applyFill="1" applyBorder="1" applyAlignment="1">
      <alignment horizontal="right"/>
    </xf>
    <xf numFmtId="172" fontId="163" fillId="0" borderId="0" xfId="0" applyNumberFormat="1" applyFont="1" applyAlignment="1">
      <alignment/>
    </xf>
    <xf numFmtId="165" fontId="165" fillId="0" borderId="0" xfId="42" applyNumberFormat="1" applyFont="1" applyAlignment="1">
      <alignment vertical="center"/>
    </xf>
    <xf numFmtId="164" fontId="4" fillId="0" borderId="10" xfId="42" applyNumberFormat="1" applyFont="1" applyBorder="1" applyAlignment="1">
      <alignment vertical="center"/>
    </xf>
    <xf numFmtId="10" fontId="0" fillId="0" borderId="0" xfId="85" applyNumberFormat="1" applyFont="1" applyAlignment="1">
      <alignment/>
    </xf>
    <xf numFmtId="165" fontId="91" fillId="0" borderId="10" xfId="49" applyNumberFormat="1" applyFont="1" applyBorder="1" applyAlignment="1">
      <alignment horizontal="left"/>
    </xf>
    <xf numFmtId="165" fontId="150" fillId="0" borderId="10" xfId="42" applyNumberFormat="1" applyFont="1" applyBorder="1" applyAlignment="1">
      <alignment vertical="center"/>
    </xf>
    <xf numFmtId="10" fontId="79" fillId="0" borderId="0" xfId="85" applyNumberFormat="1" applyFont="1" applyAlignment="1">
      <alignment/>
    </xf>
    <xf numFmtId="0" fontId="32" fillId="0" borderId="0" xfId="80" applyFont="1">
      <alignment/>
      <protection/>
    </xf>
    <xf numFmtId="164" fontId="32" fillId="0" borderId="0" xfId="42" applyNumberFormat="1" applyFont="1" applyBorder="1" applyAlignment="1">
      <alignment/>
    </xf>
    <xf numFmtId="165" fontId="32" fillId="0" borderId="0" xfId="42" applyNumberFormat="1" applyFont="1" applyBorder="1" applyAlignment="1">
      <alignment horizontal="right"/>
    </xf>
    <xf numFmtId="165" fontId="32" fillId="0" borderId="0" xfId="42" applyNumberFormat="1" applyFont="1" applyBorder="1" applyAlignment="1">
      <alignment/>
    </xf>
    <xf numFmtId="43" fontId="32" fillId="0" borderId="0" xfId="42" applyFont="1" applyBorder="1" applyAlignment="1">
      <alignment horizontal="right"/>
    </xf>
    <xf numFmtId="165" fontId="33" fillId="0" borderId="0" xfId="42" applyNumberFormat="1" applyFont="1" applyBorder="1" applyAlignment="1">
      <alignment/>
    </xf>
    <xf numFmtId="165" fontId="32" fillId="0" borderId="0" xfId="42" applyNumberFormat="1" applyFont="1" applyBorder="1" applyAlignment="1">
      <alignment horizontal="center"/>
    </xf>
    <xf numFmtId="0" fontId="34" fillId="0" borderId="0" xfId="80" applyFont="1">
      <alignment/>
      <protection/>
    </xf>
    <xf numFmtId="164" fontId="34" fillId="0" borderId="0" xfId="42" applyNumberFormat="1" applyFont="1" applyBorder="1" applyAlignment="1">
      <alignment horizontal="center"/>
    </xf>
    <xf numFmtId="165" fontId="34" fillId="0" borderId="0" xfId="42" applyNumberFormat="1" applyFont="1" applyBorder="1" applyAlignment="1">
      <alignment horizontal="right"/>
    </xf>
    <xf numFmtId="165" fontId="34" fillId="0" borderId="0" xfId="42" applyNumberFormat="1" applyFont="1" applyBorder="1" applyAlignment="1">
      <alignment horizontal="center"/>
    </xf>
    <xf numFmtId="43" fontId="34" fillId="0" borderId="0" xfId="42" applyFont="1" applyBorder="1" applyAlignment="1">
      <alignment horizontal="right"/>
    </xf>
    <xf numFmtId="164" fontId="166" fillId="0" borderId="0" xfId="42" applyNumberFormat="1" applyFont="1" applyAlignment="1">
      <alignment horizontal="right"/>
    </xf>
    <xf numFmtId="165" fontId="166" fillId="0" borderId="0" xfId="42" applyNumberFormat="1" applyFont="1" applyAlignment="1">
      <alignment horizontal="right"/>
    </xf>
    <xf numFmtId="49" fontId="167" fillId="0" borderId="0" xfId="0" applyNumberFormat="1" applyFont="1" applyAlignment="1">
      <alignment horizontal="left"/>
    </xf>
    <xf numFmtId="164" fontId="167" fillId="0" borderId="0" xfId="42" applyNumberFormat="1" applyFont="1" applyAlignment="1">
      <alignment horizontal="right"/>
    </xf>
    <xf numFmtId="165" fontId="167" fillId="0" borderId="0" xfId="42" applyNumberFormat="1" applyFont="1" applyAlignment="1">
      <alignment horizontal="right"/>
    </xf>
    <xf numFmtId="43" fontId="167" fillId="0" borderId="0" xfId="42" applyFont="1" applyAlignment="1">
      <alignment horizontal="right"/>
    </xf>
    <xf numFmtId="49" fontId="166" fillId="0" borderId="0" xfId="0" applyNumberFormat="1" applyFont="1" applyAlignment="1">
      <alignment/>
    </xf>
    <xf numFmtId="43" fontId="161" fillId="0" borderId="0" xfId="42" applyFont="1" applyAlignment="1">
      <alignment/>
    </xf>
    <xf numFmtId="164" fontId="166" fillId="0" borderId="0" xfId="42" applyNumberFormat="1" applyFont="1" applyAlignment="1">
      <alignment/>
    </xf>
    <xf numFmtId="165" fontId="166" fillId="0" borderId="0" xfId="42" applyNumberFormat="1" applyFont="1" applyAlignment="1">
      <alignment/>
    </xf>
    <xf numFmtId="43" fontId="166" fillId="0" borderId="0" xfId="42" applyFont="1" applyAlignment="1">
      <alignment horizontal="right"/>
    </xf>
    <xf numFmtId="43" fontId="166" fillId="0" borderId="0" xfId="42" applyFont="1" applyAlignment="1">
      <alignment/>
    </xf>
    <xf numFmtId="0" fontId="0" fillId="0" borderId="0" xfId="0" applyFont="1" applyAlignment="1">
      <alignment/>
    </xf>
    <xf numFmtId="49" fontId="166" fillId="0" borderId="0" xfId="0" applyNumberFormat="1" applyFont="1" applyAlignment="1">
      <alignment horizontal="left"/>
    </xf>
    <xf numFmtId="164" fontId="161" fillId="0" borderId="0" xfId="42" applyNumberFormat="1" applyFont="1" applyAlignment="1">
      <alignment horizontal="left"/>
    </xf>
    <xf numFmtId="165" fontId="32" fillId="33" borderId="0" xfId="42" applyNumberFormat="1" applyFont="1" applyFill="1" applyBorder="1" applyAlignment="1">
      <alignment horizontal="right"/>
    </xf>
    <xf numFmtId="4" fontId="17" fillId="0" borderId="0" xfId="67" applyNumberFormat="1" applyFont="1" applyBorder="1" applyAlignment="1">
      <alignment horizontal="center"/>
    </xf>
    <xf numFmtId="4" fontId="17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165" fontId="18" fillId="0" borderId="0" xfId="49" applyNumberFormat="1" applyFont="1" applyAlignment="1">
      <alignment horizontal="right"/>
    </xf>
    <xf numFmtId="4" fontId="18" fillId="0" borderId="0" xfId="67" applyNumberFormat="1" applyFont="1" applyBorder="1" applyAlignment="1">
      <alignment horizontal="center"/>
    </xf>
    <xf numFmtId="4" fontId="18" fillId="0" borderId="0" xfId="0" applyNumberFormat="1" applyFont="1" applyAlignment="1">
      <alignment horizontal="center"/>
    </xf>
    <xf numFmtId="4" fontId="18" fillId="0" borderId="0" xfId="67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43" fontId="18" fillId="0" borderId="0" xfId="49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43" fontId="17" fillId="0" borderId="0" xfId="49" applyFont="1" applyBorder="1" applyAlignment="1">
      <alignment horizontal="center"/>
    </xf>
    <xf numFmtId="4" fontId="17" fillId="0" borderId="0" xfId="67" applyNumberFormat="1" applyFont="1" applyBorder="1" applyAlignment="1">
      <alignment horizontal="center" vertical="center"/>
    </xf>
    <xf numFmtId="43" fontId="17" fillId="0" borderId="0" xfId="49" applyFont="1" applyBorder="1" applyAlignment="1">
      <alignment vertical="center"/>
    </xf>
    <xf numFmtId="43" fontId="18" fillId="0" borderId="0" xfId="49" applyFont="1" applyBorder="1" applyAlignment="1">
      <alignment vertical="center"/>
    </xf>
    <xf numFmtId="43" fontId="17" fillId="0" borderId="0" xfId="49" applyFont="1" applyBorder="1" applyAlignment="1">
      <alignment horizontal="center" vertical="center"/>
    </xf>
    <xf numFmtId="165" fontId="36" fillId="0" borderId="0" xfId="49" applyNumberFormat="1" applyFont="1" applyAlignment="1">
      <alignment/>
    </xf>
    <xf numFmtId="165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165" fontId="18" fillId="0" borderId="0" xfId="49" applyNumberFormat="1" applyFont="1" applyBorder="1" applyAlignment="1">
      <alignment horizontal="left" vertical="center"/>
    </xf>
    <xf numFmtId="4" fontId="16" fillId="0" borderId="0" xfId="67" applyNumberFormat="1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17" fillId="0" borderId="0" xfId="0" applyFont="1" applyAlignment="1">
      <alignment horizontal="right" vertical="center"/>
    </xf>
    <xf numFmtId="165" fontId="17" fillId="0" borderId="0" xfId="49" applyNumberFormat="1" applyFont="1" applyAlignment="1">
      <alignment horizontal="right" vertical="center"/>
    </xf>
    <xf numFmtId="164" fontId="18" fillId="0" borderId="0" xfId="49" applyNumberFormat="1" applyFont="1" applyAlignment="1">
      <alignment horizontal="right" vertical="center"/>
    </xf>
    <xf numFmtId="165" fontId="18" fillId="0" borderId="0" xfId="49" applyNumberFormat="1" applyFont="1" applyAlignment="1">
      <alignment horizontal="right" vertical="center"/>
    </xf>
    <xf numFmtId="171" fontId="18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horizontal="center" vertical="center"/>
    </xf>
    <xf numFmtId="10" fontId="18" fillId="0" borderId="0" xfId="86" applyNumberFormat="1" applyFont="1" applyAlignment="1">
      <alignment horizontal="center" vertical="center"/>
    </xf>
    <xf numFmtId="164" fontId="18" fillId="0" borderId="0" xfId="49" applyNumberFormat="1" applyFont="1" applyBorder="1" applyAlignment="1">
      <alignment horizontal="right" vertical="center"/>
    </xf>
    <xf numFmtId="171" fontId="18" fillId="0" borderId="0" xfId="0" applyNumberFormat="1" applyFont="1" applyBorder="1" applyAlignment="1">
      <alignment horizontal="right" vertical="center"/>
    </xf>
    <xf numFmtId="10" fontId="18" fillId="0" borderId="0" xfId="86" applyNumberFormat="1" applyFont="1" applyBorder="1" applyAlignment="1">
      <alignment horizontal="center" vertical="center"/>
    </xf>
    <xf numFmtId="1" fontId="166" fillId="0" borderId="0" xfId="0" applyNumberFormat="1" applyFont="1" applyAlignment="1">
      <alignment horizontal="right"/>
    </xf>
    <xf numFmtId="0" fontId="161" fillId="0" borderId="0" xfId="0" applyFont="1" applyAlignment="1">
      <alignment horizontal="right"/>
    </xf>
    <xf numFmtId="3" fontId="166" fillId="0" borderId="0" xfId="0" applyNumberFormat="1" applyFont="1" applyAlignment="1">
      <alignment horizontal="right"/>
    </xf>
    <xf numFmtId="1" fontId="166" fillId="0" borderId="0" xfId="0" applyNumberFormat="1" applyFont="1" applyAlignment="1">
      <alignment/>
    </xf>
    <xf numFmtId="3" fontId="166" fillId="0" borderId="0" xfId="0" applyNumberFormat="1" applyFont="1" applyAlignment="1">
      <alignment/>
    </xf>
    <xf numFmtId="164" fontId="78" fillId="0" borderId="0" xfId="49" applyNumberFormat="1" applyFont="1" applyAlignment="1">
      <alignment horizontal="right"/>
    </xf>
    <xf numFmtId="164" fontId="79" fillId="0" borderId="0" xfId="49" applyNumberFormat="1" applyFont="1" applyAlignment="1">
      <alignment horizontal="right"/>
    </xf>
    <xf numFmtId="43" fontId="79" fillId="0" borderId="0" xfId="42" applyFont="1" applyAlignment="1">
      <alignment/>
    </xf>
    <xf numFmtId="0" fontId="79" fillId="0" borderId="0" xfId="0" applyFont="1" applyAlignment="1">
      <alignment horizontal="center"/>
    </xf>
    <xf numFmtId="165" fontId="79" fillId="0" borderId="0" xfId="49" applyNumberFormat="1" applyFont="1" applyAlignment="1">
      <alignment horizontal="center"/>
    </xf>
    <xf numFmtId="43" fontId="79" fillId="0" borderId="0" xfId="49" applyFont="1" applyAlignment="1">
      <alignment horizontal="center"/>
    </xf>
    <xf numFmtId="171" fontId="166" fillId="0" borderId="0" xfId="0" applyNumberFormat="1" applyFont="1" applyAlignment="1">
      <alignment/>
    </xf>
    <xf numFmtId="172" fontId="166" fillId="0" borderId="0" xfId="0" applyNumberFormat="1" applyFont="1" applyAlignment="1">
      <alignment/>
    </xf>
    <xf numFmtId="171" fontId="166" fillId="0" borderId="0" xfId="0" applyNumberFormat="1" applyFont="1" applyAlignment="1">
      <alignment/>
    </xf>
    <xf numFmtId="4" fontId="166" fillId="0" borderId="0" xfId="0" applyNumberFormat="1" applyFont="1" applyAlignment="1">
      <alignment horizontal="right"/>
    </xf>
    <xf numFmtId="0" fontId="166" fillId="0" borderId="0" xfId="0" applyFont="1" applyAlignment="1">
      <alignment/>
    </xf>
    <xf numFmtId="172" fontId="166" fillId="0" borderId="0" xfId="0" applyNumberFormat="1" applyFont="1" applyAlignment="1">
      <alignment/>
    </xf>
    <xf numFmtId="2" fontId="166" fillId="0" borderId="0" xfId="0" applyNumberFormat="1" applyFont="1" applyAlignment="1">
      <alignment/>
    </xf>
    <xf numFmtId="4" fontId="166" fillId="0" borderId="0" xfId="0" applyNumberFormat="1" applyFont="1" applyAlignment="1">
      <alignment/>
    </xf>
    <xf numFmtId="0" fontId="166" fillId="0" borderId="0" xfId="0" applyFont="1" applyAlignment="1">
      <alignment/>
    </xf>
    <xf numFmtId="4" fontId="166" fillId="0" borderId="0" xfId="0" applyNumberFormat="1" applyFont="1" applyAlignment="1">
      <alignment/>
    </xf>
    <xf numFmtId="43" fontId="166" fillId="0" borderId="0" xfId="42" applyFont="1" applyAlignment="1">
      <alignment/>
    </xf>
    <xf numFmtId="165" fontId="166" fillId="0" borderId="0" xfId="42" applyNumberFormat="1" applyFont="1" applyAlignment="1">
      <alignment/>
    </xf>
    <xf numFmtId="1" fontId="166" fillId="0" borderId="0" xfId="0" applyNumberFormat="1" applyFont="1" applyAlignment="1">
      <alignment/>
    </xf>
    <xf numFmtId="3" fontId="167" fillId="0" borderId="0" xfId="42" applyNumberFormat="1" applyFont="1" applyAlignment="1">
      <alignment horizontal="right"/>
    </xf>
    <xf numFmtId="1" fontId="167" fillId="0" borderId="0" xfId="0" applyNumberFormat="1" applyFont="1" applyAlignment="1">
      <alignment/>
    </xf>
    <xf numFmtId="165" fontId="167" fillId="0" borderId="0" xfId="42" applyNumberFormat="1" applyFont="1" applyAlignment="1">
      <alignment/>
    </xf>
    <xf numFmtId="1" fontId="167" fillId="0" borderId="0" xfId="0" applyNumberFormat="1" applyFont="1" applyAlignment="1">
      <alignment/>
    </xf>
    <xf numFmtId="172" fontId="167" fillId="0" borderId="0" xfId="0" applyNumberFormat="1" applyFont="1" applyAlignment="1">
      <alignment/>
    </xf>
    <xf numFmtId="164" fontId="167" fillId="0" borderId="0" xfId="42" applyNumberFormat="1" applyFont="1" applyAlignment="1">
      <alignment/>
    </xf>
    <xf numFmtId="165" fontId="167" fillId="0" borderId="0" xfId="42" applyNumberFormat="1" applyFont="1" applyAlignment="1">
      <alignment/>
    </xf>
    <xf numFmtId="43" fontId="167" fillId="0" borderId="0" xfId="42" applyFont="1" applyAlignment="1">
      <alignment/>
    </xf>
    <xf numFmtId="172" fontId="167" fillId="0" borderId="0" xfId="42" applyNumberFormat="1" applyFont="1" applyAlignment="1">
      <alignment horizontal="right"/>
    </xf>
    <xf numFmtId="0" fontId="167" fillId="0" borderId="0" xfId="0" applyFont="1" applyAlignment="1">
      <alignment/>
    </xf>
    <xf numFmtId="0" fontId="167" fillId="0" borderId="0" xfId="0" applyFont="1" applyAlignment="1">
      <alignment/>
    </xf>
    <xf numFmtId="4" fontId="167" fillId="0" borderId="0" xfId="0" applyNumberFormat="1" applyFont="1" applyAlignment="1">
      <alignment horizontal="right"/>
    </xf>
    <xf numFmtId="2" fontId="167" fillId="0" borderId="0" xfId="0" applyNumberFormat="1" applyFont="1" applyAlignment="1">
      <alignment/>
    </xf>
    <xf numFmtId="3" fontId="167" fillId="0" borderId="0" xfId="0" applyNumberFormat="1" applyFont="1" applyAlignment="1">
      <alignment/>
    </xf>
    <xf numFmtId="171" fontId="167" fillId="0" borderId="0" xfId="0" applyNumberFormat="1" applyFont="1" applyAlignment="1">
      <alignment/>
    </xf>
    <xf numFmtId="171" fontId="167" fillId="0" borderId="0" xfId="0" applyNumberFormat="1" applyFont="1" applyAlignment="1">
      <alignment/>
    </xf>
    <xf numFmtId="0" fontId="79" fillId="0" borderId="0" xfId="0" applyFont="1" applyAlignment="1">
      <alignment horizontal="center"/>
    </xf>
    <xf numFmtId="0" fontId="139" fillId="0" borderId="0" xfId="0" applyFont="1" applyAlignment="1">
      <alignment vertical="center"/>
    </xf>
    <xf numFmtId="0" fontId="79" fillId="0" borderId="0" xfId="0" applyFont="1" applyAlignment="1">
      <alignment horizontal="center"/>
    </xf>
    <xf numFmtId="0" fontId="24" fillId="0" borderId="0" xfId="0" applyFont="1" applyAlignment="1">
      <alignment/>
    </xf>
    <xf numFmtId="43" fontId="36" fillId="0" borderId="0" xfId="49" applyFont="1" applyAlignment="1">
      <alignment/>
    </xf>
    <xf numFmtId="0" fontId="36" fillId="0" borderId="0" xfId="0" applyFont="1" applyAlignment="1">
      <alignment/>
    </xf>
    <xf numFmtId="10" fontId="78" fillId="0" borderId="0" xfId="86" applyNumberFormat="1" applyFont="1" applyAlignment="1">
      <alignment/>
    </xf>
    <xf numFmtId="10" fontId="79" fillId="0" borderId="0" xfId="86" applyNumberFormat="1" applyFont="1" applyAlignment="1">
      <alignment/>
    </xf>
    <xf numFmtId="49" fontId="141" fillId="0" borderId="0" xfId="0" applyNumberFormat="1" applyFont="1" applyAlignment="1">
      <alignment vertical="center"/>
    </xf>
    <xf numFmtId="164" fontId="144" fillId="0" borderId="0" xfId="42" applyNumberFormat="1" applyFont="1" applyAlignment="1">
      <alignment horizontal="right" vertical="center"/>
    </xf>
    <xf numFmtId="165" fontId="144" fillId="0" borderId="0" xfId="42" applyNumberFormat="1" applyFont="1" applyAlignment="1">
      <alignment horizontal="right" vertical="center"/>
    </xf>
    <xf numFmtId="43" fontId="144" fillId="0" borderId="0" xfId="42" applyFont="1" applyAlignment="1">
      <alignment horizontal="right" vertical="center"/>
    </xf>
    <xf numFmtId="1" fontId="141" fillId="0" borderId="0" xfId="0" applyNumberFormat="1" applyFont="1" applyAlignment="1">
      <alignment horizontal="right"/>
    </xf>
    <xf numFmtId="0" fontId="140" fillId="0" borderId="0" xfId="0" applyFont="1" applyAlignment="1">
      <alignment horizontal="right"/>
    </xf>
    <xf numFmtId="0" fontId="141" fillId="0" borderId="0" xfId="0" applyFont="1" applyAlignment="1">
      <alignment horizontal="right"/>
    </xf>
    <xf numFmtId="43" fontId="141" fillId="0" borderId="0" xfId="42" applyNumberFormat="1" applyFont="1" applyAlignment="1">
      <alignment horizontal="right"/>
    </xf>
    <xf numFmtId="1" fontId="142" fillId="0" borderId="0" xfId="0" applyNumberFormat="1" applyFont="1" applyAlignment="1">
      <alignment horizontal="right"/>
    </xf>
    <xf numFmtId="3" fontId="142" fillId="0" borderId="0" xfId="0" applyNumberFormat="1" applyFont="1" applyAlignment="1">
      <alignment horizontal="right"/>
    </xf>
    <xf numFmtId="0" fontId="142" fillId="0" borderId="0" xfId="0" applyFont="1" applyAlignment="1">
      <alignment horizontal="right"/>
    </xf>
    <xf numFmtId="165" fontId="21" fillId="33" borderId="0" xfId="42" applyNumberFormat="1" applyFont="1" applyFill="1" applyBorder="1" applyAlignment="1">
      <alignment horizontal="right"/>
    </xf>
    <xf numFmtId="43" fontId="79" fillId="0" borderId="0" xfId="49" applyFont="1" applyAlignment="1">
      <alignment horizontal="right"/>
    </xf>
    <xf numFmtId="10" fontId="79" fillId="0" borderId="0" xfId="86" applyNumberFormat="1" applyFont="1" applyAlignment="1">
      <alignment horizontal="right"/>
    </xf>
    <xf numFmtId="165" fontId="6" fillId="0" borderId="0" xfId="42" applyNumberFormat="1" applyFont="1" applyAlignment="1">
      <alignment/>
    </xf>
    <xf numFmtId="165" fontId="38" fillId="0" borderId="0" xfId="49" applyNumberFormat="1" applyFont="1" applyAlignment="1">
      <alignment/>
    </xf>
    <xf numFmtId="0" fontId="39" fillId="0" borderId="0" xfId="80" applyFont="1">
      <alignment/>
      <protection/>
    </xf>
    <xf numFmtId="164" fontId="39" fillId="0" borderId="0" xfId="42" applyNumberFormat="1" applyFont="1" applyBorder="1" applyAlignment="1">
      <alignment/>
    </xf>
    <xf numFmtId="165" fontId="39" fillId="0" borderId="0" xfId="42" applyNumberFormat="1" applyFont="1" applyBorder="1" applyAlignment="1">
      <alignment horizontal="right"/>
    </xf>
    <xf numFmtId="165" fontId="39" fillId="0" borderId="0" xfId="42" applyNumberFormat="1" applyFont="1" applyBorder="1" applyAlignment="1">
      <alignment/>
    </xf>
    <xf numFmtId="43" fontId="39" fillId="0" borderId="0" xfId="42" applyFont="1" applyBorder="1" applyAlignment="1">
      <alignment horizontal="right"/>
    </xf>
    <xf numFmtId="165" fontId="40" fillId="0" borderId="0" xfId="42" applyNumberFormat="1" applyFont="1" applyBorder="1" applyAlignment="1">
      <alignment/>
    </xf>
    <xf numFmtId="165" fontId="39" fillId="0" borderId="0" xfId="42" applyNumberFormat="1" applyFont="1" applyBorder="1" applyAlignment="1">
      <alignment horizontal="center"/>
    </xf>
    <xf numFmtId="0" fontId="41" fillId="0" borderId="0" xfId="80" applyFont="1">
      <alignment/>
      <protection/>
    </xf>
    <xf numFmtId="164" fontId="41" fillId="0" borderId="0" xfId="42" applyNumberFormat="1" applyFont="1" applyBorder="1" applyAlignment="1">
      <alignment horizontal="center"/>
    </xf>
    <xf numFmtId="165" fontId="41" fillId="0" borderId="0" xfId="42" applyNumberFormat="1" applyFont="1" applyBorder="1" applyAlignment="1">
      <alignment horizontal="right"/>
    </xf>
    <xf numFmtId="165" fontId="41" fillId="0" borderId="0" xfId="42" applyNumberFormat="1" applyFont="1" applyBorder="1" applyAlignment="1">
      <alignment horizontal="center"/>
    </xf>
    <xf numFmtId="43" fontId="41" fillId="0" borderId="0" xfId="42" applyFont="1" applyBorder="1" applyAlignment="1">
      <alignment horizontal="right"/>
    </xf>
    <xf numFmtId="164" fontId="168" fillId="0" borderId="0" xfId="42" applyNumberFormat="1" applyFont="1" applyAlignment="1">
      <alignment horizontal="right"/>
    </xf>
    <xf numFmtId="165" fontId="139" fillId="0" borderId="0" xfId="42" applyNumberFormat="1" applyFont="1" applyAlignment="1">
      <alignment horizontal="right"/>
    </xf>
    <xf numFmtId="165" fontId="168" fillId="0" borderId="0" xfId="42" applyNumberFormat="1" applyFont="1" applyAlignment="1">
      <alignment horizontal="right"/>
    </xf>
    <xf numFmtId="43" fontId="139" fillId="0" borderId="0" xfId="42" applyFont="1" applyAlignment="1">
      <alignment horizontal="right"/>
    </xf>
    <xf numFmtId="49" fontId="169" fillId="0" borderId="0" xfId="0" applyNumberFormat="1" applyFont="1" applyAlignment="1">
      <alignment horizontal="left"/>
    </xf>
    <xf numFmtId="164" fontId="169" fillId="0" borderId="0" xfId="42" applyNumberFormat="1" applyFont="1" applyAlignment="1">
      <alignment horizontal="right"/>
    </xf>
    <xf numFmtId="165" fontId="169" fillId="0" borderId="0" xfId="42" applyNumberFormat="1" applyFont="1" applyAlignment="1">
      <alignment horizontal="right"/>
    </xf>
    <xf numFmtId="43" fontId="169" fillId="0" borderId="0" xfId="42" applyFont="1" applyAlignment="1">
      <alignment horizontal="right"/>
    </xf>
    <xf numFmtId="164" fontId="170" fillId="0" borderId="0" xfId="42" applyNumberFormat="1" applyFont="1" applyAlignment="1">
      <alignment horizontal="right"/>
    </xf>
    <xf numFmtId="165" fontId="170" fillId="0" borderId="0" xfId="42" applyNumberFormat="1" applyFont="1" applyAlignment="1">
      <alignment horizontal="right"/>
    </xf>
    <xf numFmtId="43" fontId="170" fillId="0" borderId="0" xfId="42" applyFont="1" applyAlignment="1">
      <alignment horizontal="right"/>
    </xf>
    <xf numFmtId="49" fontId="168" fillId="0" borderId="0" xfId="0" applyNumberFormat="1" applyFont="1" applyAlignment="1">
      <alignment/>
    </xf>
    <xf numFmtId="43" fontId="168" fillId="0" borderId="0" xfId="42" applyFont="1" applyAlignment="1">
      <alignment horizontal="right"/>
    </xf>
    <xf numFmtId="164" fontId="139" fillId="0" borderId="0" xfId="42" applyNumberFormat="1" applyFont="1" applyAlignment="1">
      <alignment horizontal="right"/>
    </xf>
    <xf numFmtId="164" fontId="139" fillId="0" borderId="0" xfId="42" applyNumberFormat="1" applyFont="1" applyAlignment="1">
      <alignment/>
    </xf>
    <xf numFmtId="165" fontId="139" fillId="0" borderId="0" xfId="42" applyNumberFormat="1" applyFont="1" applyAlignment="1">
      <alignment/>
    </xf>
    <xf numFmtId="49" fontId="168" fillId="0" borderId="0" xfId="0" applyNumberFormat="1" applyFont="1" applyAlignment="1">
      <alignment horizontal="left"/>
    </xf>
    <xf numFmtId="43" fontId="139" fillId="0" borderId="0" xfId="42" applyFont="1" applyAlignment="1">
      <alignment horizontal="left"/>
    </xf>
    <xf numFmtId="43" fontId="39" fillId="33" borderId="0" xfId="42" applyFont="1" applyFill="1" applyBorder="1" applyAlignment="1">
      <alignment horizontal="right"/>
    </xf>
    <xf numFmtId="0" fontId="5" fillId="0" borderId="0" xfId="80" applyFont="1">
      <alignment/>
      <protection/>
    </xf>
    <xf numFmtId="0" fontId="42" fillId="0" borderId="0" xfId="0" applyFont="1" applyAlignment="1">
      <alignment vertical="center"/>
    </xf>
    <xf numFmtId="14" fontId="43" fillId="0" borderId="0" xfId="0" applyNumberFormat="1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164" fontId="42" fillId="0" borderId="0" xfId="42" applyNumberFormat="1" applyFont="1" applyAlignment="1">
      <alignment horizontal="left" vertical="center"/>
    </xf>
    <xf numFmtId="165" fontId="42" fillId="0" borderId="0" xfId="42" applyNumberFormat="1" applyFont="1" applyAlignment="1">
      <alignment vertical="center"/>
    </xf>
    <xf numFmtId="43" fontId="42" fillId="0" borderId="0" xfId="42" applyFont="1" applyAlignment="1">
      <alignment horizontal="right" vertical="center"/>
    </xf>
    <xf numFmtId="166" fontId="42" fillId="0" borderId="0" xfId="42" applyNumberFormat="1" applyFont="1" applyAlignment="1">
      <alignment horizontal="center" vertical="center"/>
    </xf>
    <xf numFmtId="164" fontId="42" fillId="0" borderId="10" xfId="42" applyNumberFormat="1" applyFont="1" applyBorder="1" applyAlignment="1">
      <alignment horizontal="left" vertical="center"/>
    </xf>
    <xf numFmtId="165" fontId="42" fillId="0" borderId="10" xfId="42" applyNumberFormat="1" applyFont="1" applyBorder="1" applyAlignment="1">
      <alignment vertical="center"/>
    </xf>
    <xf numFmtId="43" fontId="42" fillId="0" borderId="10" xfId="42" applyFont="1" applyBorder="1" applyAlignment="1">
      <alignment horizontal="right" vertical="center"/>
    </xf>
    <xf numFmtId="164" fontId="42" fillId="0" borderId="11" xfId="42" applyNumberFormat="1" applyFont="1" applyBorder="1" applyAlignment="1">
      <alignment vertical="center"/>
    </xf>
    <xf numFmtId="165" fontId="42" fillId="0" borderId="11" xfId="42" applyNumberFormat="1" applyFont="1" applyBorder="1" applyAlignment="1">
      <alignment vertical="center"/>
    </xf>
    <xf numFmtId="43" fontId="42" fillId="0" borderId="11" xfId="42" applyFont="1" applyBorder="1" applyAlignment="1">
      <alignment horizontal="right" vertical="center"/>
    </xf>
    <xf numFmtId="166" fontId="42" fillId="0" borderId="11" xfId="42" applyNumberFormat="1" applyFont="1" applyBorder="1" applyAlignment="1">
      <alignment horizontal="center" vertical="center"/>
    </xf>
    <xf numFmtId="164" fontId="42" fillId="0" borderId="0" xfId="42" applyNumberFormat="1" applyFont="1" applyBorder="1" applyAlignment="1">
      <alignment vertical="center"/>
    </xf>
    <xf numFmtId="165" fontId="42" fillId="0" borderId="0" xfId="42" applyNumberFormat="1" applyFont="1" applyBorder="1" applyAlignment="1">
      <alignment vertical="center"/>
    </xf>
    <xf numFmtId="43" fontId="42" fillId="0" borderId="0" xfId="42" applyFont="1" applyBorder="1" applyAlignment="1">
      <alignment horizontal="right" vertical="center"/>
    </xf>
    <xf numFmtId="166" fontId="42" fillId="0" borderId="0" xfId="42" applyNumberFormat="1" applyFont="1" applyBorder="1" applyAlignment="1">
      <alignment horizontal="center" vertical="center"/>
    </xf>
    <xf numFmtId="165" fontId="43" fillId="0" borderId="0" xfId="42" applyNumberFormat="1" applyFont="1" applyAlignment="1">
      <alignment horizontal="right" vertical="center"/>
    </xf>
    <xf numFmtId="166" fontId="43" fillId="0" borderId="0" xfId="42" applyNumberFormat="1" applyFont="1" applyAlignment="1">
      <alignment horizontal="right" vertical="center"/>
    </xf>
    <xf numFmtId="166" fontId="42" fillId="0" borderId="10" xfId="42" applyNumberFormat="1" applyFont="1" applyBorder="1" applyAlignment="1">
      <alignment horizontal="center" vertical="center"/>
    </xf>
    <xf numFmtId="164" fontId="42" fillId="0" borderId="10" xfId="42" applyNumberFormat="1" applyFont="1" applyBorder="1" applyAlignment="1">
      <alignment vertical="center"/>
    </xf>
    <xf numFmtId="43" fontId="42" fillId="0" borderId="10" xfId="42" applyFont="1" applyBorder="1" applyAlignment="1">
      <alignment vertical="center"/>
    </xf>
    <xf numFmtId="164" fontId="42" fillId="0" borderId="11" xfId="49" applyNumberFormat="1" applyFont="1" applyBorder="1" applyAlignment="1">
      <alignment vertical="center"/>
    </xf>
    <xf numFmtId="43" fontId="42" fillId="0" borderId="11" xfId="42" applyFont="1" applyBorder="1" applyAlignment="1">
      <alignment vertical="center"/>
    </xf>
    <xf numFmtId="164" fontId="42" fillId="0" borderId="0" xfId="49" applyNumberFormat="1" applyFont="1" applyBorder="1" applyAlignment="1">
      <alignment vertical="center"/>
    </xf>
    <xf numFmtId="164" fontId="42" fillId="0" borderId="0" xfId="49" applyNumberFormat="1" applyFont="1" applyAlignment="1">
      <alignment horizontal="left" vertical="center"/>
    </xf>
    <xf numFmtId="164" fontId="42" fillId="0" borderId="10" xfId="49" applyNumberFormat="1" applyFont="1" applyBorder="1" applyAlignment="1">
      <alignment horizontal="left" vertical="center"/>
    </xf>
    <xf numFmtId="164" fontId="42" fillId="0" borderId="10" xfId="49" applyNumberFormat="1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165" fontId="43" fillId="0" borderId="0" xfId="42" applyNumberFormat="1" applyFont="1" applyAlignment="1">
      <alignment horizontal="center" vertical="center"/>
    </xf>
    <xf numFmtId="166" fontId="43" fillId="0" borderId="0" xfId="42" applyNumberFormat="1" applyFont="1" applyAlignment="1">
      <alignment horizontal="center" vertical="center"/>
    </xf>
    <xf numFmtId="164" fontId="42" fillId="0" borderId="0" xfId="49" applyNumberFormat="1" applyFont="1" applyBorder="1" applyAlignment="1">
      <alignment horizontal="left" vertical="center"/>
    </xf>
    <xf numFmtId="43" fontId="42" fillId="0" borderId="0" xfId="42" applyFont="1" applyBorder="1" applyAlignment="1">
      <alignment vertical="center"/>
    </xf>
    <xf numFmtId="165" fontId="42" fillId="0" borderId="0" xfId="49" applyNumberFormat="1" applyFont="1" applyBorder="1" applyAlignment="1">
      <alignment vertical="center"/>
    </xf>
    <xf numFmtId="166" fontId="42" fillId="0" borderId="0" xfId="49" applyNumberFormat="1" applyFont="1" applyBorder="1" applyAlignment="1">
      <alignment vertical="center"/>
    </xf>
    <xf numFmtId="166" fontId="42" fillId="0" borderId="0" xfId="0" applyNumberFormat="1" applyFont="1" applyBorder="1" applyAlignment="1">
      <alignment horizontal="center" vertical="center"/>
    </xf>
    <xf numFmtId="164" fontId="43" fillId="0" borderId="0" xfId="49" applyNumberFormat="1" applyFont="1" applyBorder="1" applyAlignment="1">
      <alignment vertical="center"/>
    </xf>
    <xf numFmtId="164" fontId="43" fillId="0" borderId="0" xfId="49" applyNumberFormat="1" applyFont="1" applyBorder="1" applyAlignment="1">
      <alignment horizontal="center" vertical="center"/>
    </xf>
    <xf numFmtId="166" fontId="43" fillId="0" borderId="0" xfId="49" applyNumberFormat="1" applyFont="1" applyBorder="1" applyAlignment="1">
      <alignment vertical="center"/>
    </xf>
    <xf numFmtId="166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42" fillId="0" borderId="0" xfId="49" applyNumberFormat="1" applyFont="1" applyBorder="1" applyAlignment="1">
      <alignment horizontal="right" vertical="center"/>
    </xf>
    <xf numFmtId="165" fontId="42" fillId="0" borderId="0" xfId="49" applyNumberFormat="1" applyFont="1" applyBorder="1" applyAlignment="1">
      <alignment horizontal="right" vertical="center"/>
    </xf>
    <xf numFmtId="166" fontId="42" fillId="0" borderId="0" xfId="49" applyNumberFormat="1" applyFont="1" applyBorder="1" applyAlignment="1">
      <alignment horizontal="right" vertical="center"/>
    </xf>
    <xf numFmtId="10" fontId="42" fillId="0" borderId="0" xfId="86" applyNumberFormat="1" applyFont="1" applyBorder="1" applyAlignment="1">
      <alignment horizontal="right" vertical="center"/>
    </xf>
    <xf numFmtId="164" fontId="44" fillId="0" borderId="0" xfId="49" applyNumberFormat="1" applyFont="1" applyBorder="1" applyAlignment="1">
      <alignment horizontal="right" vertical="center"/>
    </xf>
    <xf numFmtId="165" fontId="44" fillId="0" borderId="0" xfId="49" applyNumberFormat="1" applyFont="1" applyBorder="1" applyAlignment="1">
      <alignment horizontal="right" vertical="center"/>
    </xf>
    <xf numFmtId="166" fontId="44" fillId="0" borderId="0" xfId="49" applyNumberFormat="1" applyFont="1" applyBorder="1" applyAlignment="1">
      <alignment horizontal="right" vertical="center"/>
    </xf>
    <xf numFmtId="10" fontId="44" fillId="0" borderId="0" xfId="86" applyNumberFormat="1" applyFont="1" applyBorder="1" applyAlignment="1">
      <alignment horizontal="right" vertical="center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164" fontId="44" fillId="0" borderId="0" xfId="49" applyNumberFormat="1" applyFont="1" applyBorder="1" applyAlignment="1">
      <alignment horizontal="right" vertical="top"/>
    </xf>
    <xf numFmtId="165" fontId="44" fillId="0" borderId="0" xfId="42" applyNumberFormat="1" applyFont="1" applyBorder="1" applyAlignment="1">
      <alignment horizontal="right" vertical="top"/>
    </xf>
    <xf numFmtId="166" fontId="44" fillId="0" borderId="0" xfId="49" applyNumberFormat="1" applyFont="1" applyBorder="1" applyAlignment="1">
      <alignment horizontal="right" vertical="top"/>
    </xf>
    <xf numFmtId="10" fontId="44" fillId="0" borderId="0" xfId="86" applyNumberFormat="1" applyFont="1" applyBorder="1" applyAlignment="1">
      <alignment horizontal="right" vertical="top"/>
    </xf>
    <xf numFmtId="43" fontId="44" fillId="0" borderId="0" xfId="49" applyFont="1" applyBorder="1" applyAlignment="1">
      <alignment horizontal="right" vertical="center"/>
    </xf>
    <xf numFmtId="10" fontId="42" fillId="0" borderId="0" xfId="86" applyNumberFormat="1" applyFont="1" applyAlignment="1">
      <alignment vertical="center"/>
    </xf>
    <xf numFmtId="1" fontId="0" fillId="0" borderId="0" xfId="0" applyNumberFormat="1" applyAlignment="1">
      <alignment/>
    </xf>
    <xf numFmtId="43" fontId="0" fillId="0" borderId="0" xfId="42" applyFont="1" applyAlignment="1">
      <alignment/>
    </xf>
    <xf numFmtId="49" fontId="171" fillId="0" borderId="0" xfId="0" applyNumberFormat="1" applyFont="1" applyAlignment="1">
      <alignment/>
    </xf>
    <xf numFmtId="1" fontId="171" fillId="0" borderId="0" xfId="0" applyNumberFormat="1" applyFont="1" applyAlignment="1">
      <alignment horizontal="right"/>
    </xf>
    <xf numFmtId="3" fontId="171" fillId="0" borderId="0" xfId="0" applyNumberFormat="1" applyFont="1" applyAlignment="1">
      <alignment horizontal="right"/>
    </xf>
    <xf numFmtId="0" fontId="172" fillId="0" borderId="0" xfId="0" applyFont="1" applyAlignment="1">
      <alignment horizontal="right"/>
    </xf>
    <xf numFmtId="43" fontId="171" fillId="0" borderId="0" xfId="42" applyFont="1" applyAlignment="1">
      <alignment/>
    </xf>
    <xf numFmtId="165" fontId="171" fillId="0" borderId="0" xfId="42" applyNumberFormat="1" applyFont="1" applyAlignment="1">
      <alignment horizontal="right"/>
    </xf>
    <xf numFmtId="43" fontId="171" fillId="0" borderId="0" xfId="42" applyFont="1" applyAlignment="1">
      <alignment horizontal="right"/>
    </xf>
    <xf numFmtId="1" fontId="173" fillId="0" borderId="0" xfId="0" applyNumberFormat="1" applyFont="1" applyAlignment="1">
      <alignment horizontal="right"/>
    </xf>
    <xf numFmtId="165" fontId="173" fillId="0" borderId="0" xfId="42" applyNumberFormat="1" applyFont="1" applyAlignment="1">
      <alignment horizontal="right"/>
    </xf>
    <xf numFmtId="43" fontId="173" fillId="0" borderId="0" xfId="42" applyFont="1" applyAlignment="1">
      <alignment horizontal="right"/>
    </xf>
    <xf numFmtId="164" fontId="173" fillId="0" borderId="0" xfId="42" applyNumberFormat="1" applyFont="1" applyAlignment="1">
      <alignment horizontal="right"/>
    </xf>
    <xf numFmtId="164" fontId="174" fillId="0" borderId="0" xfId="42" applyNumberFormat="1" applyFont="1" applyAlignment="1">
      <alignment horizontal="right"/>
    </xf>
    <xf numFmtId="1" fontId="175" fillId="0" borderId="0" xfId="0" applyNumberFormat="1" applyFont="1" applyAlignment="1">
      <alignment/>
    </xf>
    <xf numFmtId="164" fontId="175" fillId="0" borderId="0" xfId="42" applyNumberFormat="1" applyFont="1" applyAlignment="1">
      <alignment/>
    </xf>
    <xf numFmtId="165" fontId="175" fillId="0" borderId="0" xfId="42" applyNumberFormat="1" applyFont="1" applyAlignment="1">
      <alignment/>
    </xf>
    <xf numFmtId="43" fontId="175" fillId="0" borderId="0" xfId="42" applyFont="1" applyAlignment="1">
      <alignment horizontal="right"/>
    </xf>
    <xf numFmtId="43" fontId="175" fillId="0" borderId="0" xfId="42" applyFont="1" applyAlignment="1">
      <alignment/>
    </xf>
    <xf numFmtId="165" fontId="175" fillId="0" borderId="0" xfId="42" applyNumberFormat="1" applyFont="1" applyAlignment="1">
      <alignment horizontal="right"/>
    </xf>
    <xf numFmtId="164" fontId="39" fillId="0" borderId="0" xfId="42" applyNumberFormat="1" applyFont="1" applyBorder="1" applyAlignment="1">
      <alignment horizontal="right"/>
    </xf>
    <xf numFmtId="164" fontId="41" fillId="0" borderId="0" xfId="42" applyNumberFormat="1" applyFont="1" applyBorder="1" applyAlignment="1">
      <alignment horizontal="right"/>
    </xf>
    <xf numFmtId="164" fontId="175" fillId="0" borderId="0" xfId="42" applyNumberFormat="1" applyFont="1" applyAlignment="1">
      <alignment horizontal="right"/>
    </xf>
    <xf numFmtId="164" fontId="161" fillId="0" borderId="0" xfId="42" applyNumberFormat="1" applyFont="1" applyAlignment="1">
      <alignment horizontal="right"/>
    </xf>
    <xf numFmtId="164" fontId="0" fillId="0" borderId="0" xfId="42" applyNumberFormat="1" applyFont="1" applyAlignment="1">
      <alignment horizontal="right"/>
    </xf>
    <xf numFmtId="1" fontId="176" fillId="0" borderId="0" xfId="0" applyNumberFormat="1" applyFont="1" applyAlignment="1">
      <alignment/>
    </xf>
    <xf numFmtId="165" fontId="176" fillId="0" borderId="0" xfId="42" applyNumberFormat="1" applyFont="1" applyAlignment="1">
      <alignment horizontal="right"/>
    </xf>
    <xf numFmtId="164" fontId="176" fillId="0" borderId="0" xfId="42" applyNumberFormat="1" applyFont="1" applyAlignment="1">
      <alignment horizontal="right"/>
    </xf>
    <xf numFmtId="165" fontId="176" fillId="0" borderId="0" xfId="42" applyNumberFormat="1" applyFont="1" applyAlignment="1">
      <alignment/>
    </xf>
    <xf numFmtId="164" fontId="176" fillId="0" borderId="0" xfId="42" applyNumberFormat="1" applyFont="1" applyAlignment="1">
      <alignment/>
    </xf>
    <xf numFmtId="43" fontId="176" fillId="0" borderId="0" xfId="42" applyFont="1" applyAlignment="1">
      <alignment horizontal="right"/>
    </xf>
    <xf numFmtId="43" fontId="176" fillId="0" borderId="0" xfId="42" applyFont="1" applyAlignment="1">
      <alignment/>
    </xf>
    <xf numFmtId="3" fontId="176" fillId="0" borderId="0" xfId="0" applyNumberFormat="1" applyFont="1" applyAlignment="1">
      <alignment/>
    </xf>
    <xf numFmtId="43" fontId="147" fillId="0" borderId="0" xfId="42" applyFont="1" applyAlignment="1">
      <alignment horizontal="right"/>
    </xf>
    <xf numFmtId="0" fontId="79" fillId="0" borderId="0" xfId="0" applyFont="1" applyAlignment="1">
      <alignment horizontal="center"/>
    </xf>
    <xf numFmtId="165" fontId="168" fillId="0" borderId="0" xfId="42" applyNumberFormat="1" applyFont="1" applyAlignment="1">
      <alignment/>
    </xf>
    <xf numFmtId="164" fontId="168" fillId="0" borderId="0" xfId="42" applyNumberFormat="1" applyFont="1" applyAlignment="1">
      <alignment/>
    </xf>
    <xf numFmtId="43" fontId="168" fillId="0" borderId="0" xfId="42" applyFont="1" applyAlignment="1">
      <alignment/>
    </xf>
    <xf numFmtId="43" fontId="177" fillId="0" borderId="0" xfId="42" applyFont="1" applyAlignment="1">
      <alignment horizontal="right"/>
    </xf>
    <xf numFmtId="165" fontId="168" fillId="0" borderId="0" xfId="42" applyNumberFormat="1" applyFont="1" applyAlignment="1">
      <alignment/>
    </xf>
    <xf numFmtId="165" fontId="169" fillId="0" borderId="0" xfId="42" applyNumberFormat="1" applyFont="1" applyAlignment="1">
      <alignment/>
    </xf>
    <xf numFmtId="165" fontId="169" fillId="0" borderId="0" xfId="42" applyNumberFormat="1" applyFont="1" applyAlignment="1">
      <alignment/>
    </xf>
    <xf numFmtId="164" fontId="169" fillId="0" borderId="0" xfId="42" applyNumberFormat="1" applyFont="1" applyAlignment="1">
      <alignment/>
    </xf>
    <xf numFmtId="0" fontId="78" fillId="0" borderId="0" xfId="0" applyFont="1" applyAlignment="1">
      <alignment horizontal="left" vertical="center"/>
    </xf>
    <xf numFmtId="0" fontId="78" fillId="0" borderId="0" xfId="0" applyFont="1" applyAlignment="1">
      <alignment vertical="center"/>
    </xf>
    <xf numFmtId="165" fontId="80" fillId="0" borderId="0" xfId="49" applyNumberFormat="1" applyFont="1" applyAlignment="1">
      <alignment horizontal="right" vertical="center"/>
    </xf>
    <xf numFmtId="43" fontId="80" fillId="0" borderId="0" xfId="49" applyFont="1" applyBorder="1" applyAlignment="1">
      <alignment horizontal="right" vertical="center"/>
    </xf>
    <xf numFmtId="43" fontId="78" fillId="0" borderId="0" xfId="49" applyFont="1" applyAlignment="1">
      <alignment vertical="center"/>
    </xf>
    <xf numFmtId="0" fontId="2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165" fontId="79" fillId="0" borderId="0" xfId="49" applyNumberFormat="1" applyFont="1" applyAlignment="1">
      <alignment horizontal="right" vertical="center"/>
    </xf>
    <xf numFmtId="43" fontId="79" fillId="0" borderId="0" xfId="49" applyFont="1" applyBorder="1" applyAlignment="1">
      <alignment horizontal="right" vertical="center"/>
    </xf>
    <xf numFmtId="0" fontId="79" fillId="0" borderId="0" xfId="0" applyFont="1" applyAlignment="1">
      <alignment horizontal="left" vertical="center"/>
    </xf>
    <xf numFmtId="165" fontId="78" fillId="0" borderId="0" xfId="49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165" fontId="79" fillId="0" borderId="0" xfId="49" applyNumberFormat="1" applyFont="1" applyAlignment="1">
      <alignment horizontal="center" vertical="center"/>
    </xf>
    <xf numFmtId="43" fontId="79" fillId="0" borderId="0" xfId="49" applyFont="1" applyBorder="1" applyAlignment="1">
      <alignment horizontal="center" vertical="center"/>
    </xf>
    <xf numFmtId="165" fontId="45" fillId="0" borderId="0" xfId="42" applyNumberFormat="1" applyFont="1" applyAlignment="1">
      <alignment vertical="center"/>
    </xf>
    <xf numFmtId="43" fontId="46" fillId="0" borderId="0" xfId="42" applyFont="1" applyAlignment="1">
      <alignment vertical="center"/>
    </xf>
    <xf numFmtId="0" fontId="46" fillId="0" borderId="0" xfId="0" applyFont="1" applyAlignment="1">
      <alignment vertical="center"/>
    </xf>
    <xf numFmtId="10" fontId="78" fillId="0" borderId="0" xfId="85" applyNumberFormat="1" applyFont="1" applyAlignment="1">
      <alignment vertical="center"/>
    </xf>
    <xf numFmtId="164" fontId="78" fillId="0" borderId="0" xfId="42" applyNumberFormat="1" applyFont="1" applyAlignment="1">
      <alignment horizontal="right" vertical="center"/>
    </xf>
    <xf numFmtId="165" fontId="78" fillId="0" borderId="0" xfId="42" applyNumberFormat="1" applyFont="1" applyBorder="1" applyAlignment="1">
      <alignment horizontal="right" vertical="center"/>
    </xf>
    <xf numFmtId="164" fontId="79" fillId="0" borderId="0" xfId="42" applyNumberFormat="1" applyFont="1" applyAlignment="1">
      <alignment horizontal="right" vertical="center"/>
    </xf>
    <xf numFmtId="165" fontId="79" fillId="0" borderId="0" xfId="42" applyNumberFormat="1" applyFont="1" applyBorder="1" applyAlignment="1">
      <alignment horizontal="right" vertical="center"/>
    </xf>
    <xf numFmtId="43" fontId="79" fillId="0" borderId="0" xfId="49" applyFont="1" applyAlignment="1">
      <alignment vertical="center"/>
    </xf>
    <xf numFmtId="10" fontId="79" fillId="0" borderId="0" xfId="85" applyNumberFormat="1" applyFont="1" applyAlignment="1">
      <alignment vertical="center"/>
    </xf>
    <xf numFmtId="165" fontId="175" fillId="0" borderId="0" xfId="42" applyNumberFormat="1" applyFont="1" applyAlignment="1">
      <alignment/>
    </xf>
    <xf numFmtId="3" fontId="175" fillId="0" borderId="0" xfId="0" applyNumberFormat="1" applyFont="1" applyAlignment="1">
      <alignment/>
    </xf>
    <xf numFmtId="164" fontId="147" fillId="0" borderId="0" xfId="42" applyNumberFormat="1" applyFont="1" applyAlignment="1">
      <alignment/>
    </xf>
    <xf numFmtId="165" fontId="178" fillId="0" borderId="0" xfId="42" applyNumberFormat="1" applyFont="1" applyAlignment="1">
      <alignment/>
    </xf>
    <xf numFmtId="1" fontId="178" fillId="0" borderId="0" xfId="0" applyNumberFormat="1" applyFont="1" applyAlignment="1">
      <alignment/>
    </xf>
    <xf numFmtId="165" fontId="178" fillId="0" borderId="0" xfId="42" applyNumberFormat="1" applyFont="1" applyAlignment="1">
      <alignment/>
    </xf>
    <xf numFmtId="43" fontId="178" fillId="0" borderId="0" xfId="42" applyFont="1" applyAlignment="1">
      <alignment horizontal="right"/>
    </xf>
    <xf numFmtId="164" fontId="178" fillId="0" borderId="0" xfId="42" applyNumberFormat="1" applyFont="1" applyAlignment="1">
      <alignment/>
    </xf>
    <xf numFmtId="3" fontId="178" fillId="0" borderId="0" xfId="0" applyNumberFormat="1" applyFont="1" applyAlignment="1">
      <alignment/>
    </xf>
    <xf numFmtId="165" fontId="178" fillId="0" borderId="0" xfId="42" applyNumberFormat="1" applyFont="1" applyAlignment="1">
      <alignment horizontal="right"/>
    </xf>
    <xf numFmtId="0" fontId="79" fillId="0" borderId="0" xfId="0" applyFont="1" applyAlignment="1">
      <alignment horizontal="center"/>
    </xf>
    <xf numFmtId="0" fontId="4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2" xfId="45"/>
    <cellStyle name="Comma 14" xfId="46"/>
    <cellStyle name="Comma 16" xfId="47"/>
    <cellStyle name="Comma 18" xfId="48"/>
    <cellStyle name="Comma 2" xfId="49"/>
    <cellStyle name="Comma 20" xfId="50"/>
    <cellStyle name="Comma 22" xfId="51"/>
    <cellStyle name="Comma 24" xfId="52"/>
    <cellStyle name="Comma 26" xfId="53"/>
    <cellStyle name="Comma 28" xfId="54"/>
    <cellStyle name="Comma 30" xfId="55"/>
    <cellStyle name="Comma 32" xfId="56"/>
    <cellStyle name="Comma 34" xfId="57"/>
    <cellStyle name="Comma 36" xfId="58"/>
    <cellStyle name="Comma 38" xfId="59"/>
    <cellStyle name="Comma 4" xfId="60"/>
    <cellStyle name="Comma 40" xfId="61"/>
    <cellStyle name="Comma 42" xfId="62"/>
    <cellStyle name="Comma 43" xfId="63"/>
    <cellStyle name="Comma 46" xfId="64"/>
    <cellStyle name="Comma 6" xfId="65"/>
    <cellStyle name="Comma 8" xfId="66"/>
    <cellStyle name="Currency" xfId="67"/>
    <cellStyle name="Currency [0]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Linked Cell" xfId="78"/>
    <cellStyle name="Neutral" xfId="79"/>
    <cellStyle name="Normal 2" xfId="80"/>
    <cellStyle name="Normal 3" xfId="81"/>
    <cellStyle name="Normal 46" xfId="82"/>
    <cellStyle name="Note" xfId="83"/>
    <cellStyle name="Output" xfId="84"/>
    <cellStyle name="Percent" xfId="85"/>
    <cellStyle name="Percent 2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styles" Target="styles.xml" /><Relationship Id="rId70" Type="http://schemas.openxmlformats.org/officeDocument/2006/relationships/sharedStrings" Target="sharedStrings.xml" /><Relationship Id="rId71" Type="http://schemas.openxmlformats.org/officeDocument/2006/relationships/externalLink" Target="externalLinks/externalLink1.xml" /><Relationship Id="rId7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26.7109375" style="4" customWidth="1"/>
    <col min="2" max="2" width="7.57421875" style="4" customWidth="1"/>
    <col min="3" max="3" width="12.57421875" style="6" customWidth="1"/>
    <col min="4" max="4" width="12.7109375" style="5" customWidth="1"/>
    <col min="5" max="5" width="15.00390625" style="6" customWidth="1"/>
    <col min="6" max="6" width="14.421875" style="5" customWidth="1"/>
    <col min="7" max="7" width="9.8515625" style="5" customWidth="1"/>
    <col min="8" max="8" width="9.57421875" style="5" customWidth="1"/>
    <col min="9" max="9" width="9.28125" style="3" customWidth="1"/>
    <col min="10" max="10" width="21.28125" style="378" bestFit="1" customWidth="1"/>
    <col min="11" max="16384" width="9.140625" style="378" customWidth="1"/>
  </cols>
  <sheetData>
    <row r="1" spans="1:9" ht="12.75" customHeight="1">
      <c r="A1" s="380"/>
      <c r="B1" s="380"/>
      <c r="C1" s="381" t="s">
        <v>3</v>
      </c>
      <c r="D1" s="382"/>
      <c r="E1" s="383"/>
      <c r="F1" s="384"/>
      <c r="G1" s="382"/>
      <c r="H1" s="380"/>
      <c r="I1" s="15"/>
    </row>
    <row r="2" spans="1:9" ht="12.75" customHeight="1">
      <c r="A2" s="380"/>
      <c r="B2" s="380"/>
      <c r="C2" s="381" t="s">
        <v>4</v>
      </c>
      <c r="D2" s="385"/>
      <c r="E2" s="381"/>
      <c r="F2" s="384"/>
      <c r="G2" s="382"/>
      <c r="H2" s="380"/>
      <c r="I2" s="15"/>
    </row>
    <row r="3" spans="1:9" ht="12.75" customHeight="1">
      <c r="A3" s="380"/>
      <c r="B3" s="380"/>
      <c r="C3" s="381" t="s">
        <v>33</v>
      </c>
      <c r="D3" s="385"/>
      <c r="E3" s="381"/>
      <c r="F3" s="384"/>
      <c r="G3" s="382"/>
      <c r="H3" s="380"/>
      <c r="I3" s="15"/>
    </row>
    <row r="4" spans="1:9" ht="12.75" customHeight="1">
      <c r="A4" s="386"/>
      <c r="B4" s="380"/>
      <c r="C4" s="381" t="s">
        <v>31</v>
      </c>
      <c r="D4" s="385"/>
      <c r="E4" s="381"/>
      <c r="F4" s="384"/>
      <c r="G4" s="387"/>
      <c r="H4" s="380"/>
      <c r="I4" s="15"/>
    </row>
    <row r="5" spans="1:9" ht="12.75" customHeight="1">
      <c r="A5" s="380"/>
      <c r="B5" s="386"/>
      <c r="C5" s="388"/>
      <c r="D5" s="387"/>
      <c r="E5" s="383" t="s">
        <v>1802</v>
      </c>
      <c r="F5" s="384"/>
      <c r="G5" s="387"/>
      <c r="H5" s="380"/>
      <c r="I5" s="15"/>
    </row>
    <row r="6" spans="1:9" ht="12.75" customHeight="1">
      <c r="A6" s="389" t="s">
        <v>39</v>
      </c>
      <c r="B6" s="386"/>
      <c r="C6" s="388"/>
      <c r="D6" s="387"/>
      <c r="E6" s="388"/>
      <c r="F6" s="384"/>
      <c r="G6" s="387"/>
      <c r="H6" s="380"/>
      <c r="I6" s="15"/>
    </row>
    <row r="7" spans="1:9" ht="12.75" customHeight="1">
      <c r="A7" s="390" t="s">
        <v>312</v>
      </c>
      <c r="B7" s="390"/>
      <c r="C7" s="856" t="s">
        <v>1801</v>
      </c>
      <c r="D7" s="856"/>
      <c r="E7" s="553" t="s">
        <v>1803</v>
      </c>
      <c r="F7" s="384"/>
      <c r="G7" s="382"/>
      <c r="H7" s="380"/>
      <c r="I7" s="15"/>
    </row>
    <row r="8" spans="1:9" ht="12.75" customHeight="1">
      <c r="A8" s="392" t="s">
        <v>243</v>
      </c>
      <c r="B8" s="380"/>
      <c r="C8" s="393" t="s">
        <v>0</v>
      </c>
      <c r="D8" s="394" t="s">
        <v>1</v>
      </c>
      <c r="E8" s="393" t="s">
        <v>0</v>
      </c>
      <c r="F8" s="394" t="s">
        <v>1</v>
      </c>
      <c r="G8" s="382"/>
      <c r="H8" s="380"/>
      <c r="I8" s="15"/>
    </row>
    <row r="9" spans="1:10" ht="12.75" customHeight="1">
      <c r="A9" s="389" t="s">
        <v>1348</v>
      </c>
      <c r="B9" s="380"/>
      <c r="C9" s="413">
        <v>0</v>
      </c>
      <c r="D9" s="400">
        <v>0</v>
      </c>
      <c r="E9" s="413">
        <v>2991.7</v>
      </c>
      <c r="F9" s="400">
        <v>77.01403884079286</v>
      </c>
      <c r="G9" s="382"/>
      <c r="H9" s="380"/>
      <c r="I9" s="15"/>
      <c r="J9" s="224"/>
    </row>
    <row r="10" spans="1:10" ht="12.75" customHeight="1">
      <c r="A10" s="389" t="s">
        <v>1207</v>
      </c>
      <c r="B10" s="380"/>
      <c r="C10" s="413">
        <v>0</v>
      </c>
      <c r="D10" s="400">
        <v>0</v>
      </c>
      <c r="E10" s="413">
        <v>33423.3</v>
      </c>
      <c r="F10" s="400">
        <v>101.98627903289022</v>
      </c>
      <c r="G10" s="382"/>
      <c r="H10" s="380"/>
      <c r="I10" s="15"/>
      <c r="J10" s="224"/>
    </row>
    <row r="11" spans="1:10" ht="12.75" customHeight="1">
      <c r="A11" s="389" t="s">
        <v>277</v>
      </c>
      <c r="B11" s="380"/>
      <c r="C11" s="413">
        <v>4493.2</v>
      </c>
      <c r="D11" s="400">
        <v>104.1112347547405</v>
      </c>
      <c r="E11" s="413">
        <v>98581.39999999998</v>
      </c>
      <c r="F11" s="400">
        <v>120.16038319601871</v>
      </c>
      <c r="G11" s="382"/>
      <c r="H11" s="380"/>
      <c r="I11" s="15"/>
      <c r="J11" s="224"/>
    </row>
    <row r="12" spans="1:10" ht="12.75" customHeight="1">
      <c r="A12" s="389" t="s">
        <v>279</v>
      </c>
      <c r="B12" s="380"/>
      <c r="C12" s="413">
        <v>0</v>
      </c>
      <c r="D12" s="400">
        <v>0</v>
      </c>
      <c r="E12" s="413">
        <v>2991</v>
      </c>
      <c r="F12" s="400">
        <v>240.16666666666666</v>
      </c>
      <c r="G12" s="382"/>
      <c r="H12" s="380"/>
      <c r="I12" s="15"/>
      <c r="J12" s="224"/>
    </row>
    <row r="13" spans="1:10" ht="12.75" customHeight="1">
      <c r="A13" s="389" t="s">
        <v>278</v>
      </c>
      <c r="B13" s="380"/>
      <c r="C13" s="413">
        <v>1479</v>
      </c>
      <c r="D13" s="400">
        <v>84.00101419878297</v>
      </c>
      <c r="E13" s="413">
        <v>139210.8</v>
      </c>
      <c r="F13" s="400">
        <v>180.78870245699335</v>
      </c>
      <c r="G13" s="382"/>
      <c r="H13" s="380"/>
      <c r="I13" s="15"/>
      <c r="J13" s="224"/>
    </row>
    <row r="14" spans="1:10" ht="12.75" customHeight="1">
      <c r="A14" s="389" t="s">
        <v>1208</v>
      </c>
      <c r="B14" s="380"/>
      <c r="C14" s="413">
        <v>0</v>
      </c>
      <c r="D14" s="400">
        <v>0</v>
      </c>
      <c r="E14" s="413">
        <v>58301.2</v>
      </c>
      <c r="F14" s="400">
        <v>178.99222142940457</v>
      </c>
      <c r="G14" s="382"/>
      <c r="H14" s="380"/>
      <c r="I14" s="15"/>
      <c r="J14" s="224"/>
    </row>
    <row r="15" spans="1:10" ht="12.75" customHeight="1">
      <c r="A15" s="389" t="s">
        <v>1349</v>
      </c>
      <c r="B15" s="380"/>
      <c r="C15" s="413">
        <v>497</v>
      </c>
      <c r="D15" s="400">
        <v>151</v>
      </c>
      <c r="E15" s="413">
        <v>9450</v>
      </c>
      <c r="F15" s="400">
        <v>152.14177777777778</v>
      </c>
      <c r="G15" s="382"/>
      <c r="H15" s="380"/>
      <c r="I15" s="15"/>
      <c r="J15" s="224"/>
    </row>
    <row r="16" spans="1:10" ht="12.75" customHeight="1">
      <c r="A16" s="389" t="s">
        <v>280</v>
      </c>
      <c r="B16" s="380"/>
      <c r="C16" s="413">
        <v>19424.3</v>
      </c>
      <c r="D16" s="400">
        <v>78.75146594729283</v>
      </c>
      <c r="E16" s="413">
        <v>435122.60000000003</v>
      </c>
      <c r="F16" s="400">
        <v>138.85155356214548</v>
      </c>
      <c r="G16" s="382"/>
      <c r="H16" s="380"/>
      <c r="I16" s="15"/>
      <c r="J16" s="224"/>
    </row>
    <row r="17" spans="1:10" ht="12.75" customHeight="1">
      <c r="A17" s="389" t="s">
        <v>281</v>
      </c>
      <c r="B17" s="380"/>
      <c r="C17" s="413">
        <v>0</v>
      </c>
      <c r="D17" s="400">
        <v>0</v>
      </c>
      <c r="E17" s="413">
        <v>108539.89999999998</v>
      </c>
      <c r="F17" s="400">
        <v>112.63542439232027</v>
      </c>
      <c r="G17" s="382"/>
      <c r="H17" s="380"/>
      <c r="I17" s="15"/>
      <c r="J17" s="224"/>
    </row>
    <row r="18" spans="1:10" ht="12.75" customHeight="1">
      <c r="A18" s="389" t="s">
        <v>1209</v>
      </c>
      <c r="B18" s="380"/>
      <c r="C18" s="413">
        <v>0</v>
      </c>
      <c r="D18" s="400">
        <v>0</v>
      </c>
      <c r="E18" s="413">
        <v>4234.9</v>
      </c>
      <c r="F18" s="400">
        <v>88.83397482821319</v>
      </c>
      <c r="G18" s="382"/>
      <c r="H18" s="380"/>
      <c r="I18" s="15"/>
      <c r="J18" s="224"/>
    </row>
    <row r="19" spans="1:10" ht="12.75" customHeight="1">
      <c r="A19" s="389" t="s">
        <v>1210</v>
      </c>
      <c r="B19" s="380"/>
      <c r="C19" s="413">
        <v>0</v>
      </c>
      <c r="D19" s="400">
        <v>0</v>
      </c>
      <c r="E19" s="413">
        <v>11966.1</v>
      </c>
      <c r="F19" s="400">
        <v>100</v>
      </c>
      <c r="G19" s="382"/>
      <c r="H19" s="380"/>
      <c r="I19" s="15"/>
      <c r="J19" s="224"/>
    </row>
    <row r="20" spans="1:10" ht="12.75" customHeight="1">
      <c r="A20" s="389" t="s">
        <v>1211</v>
      </c>
      <c r="B20" s="380"/>
      <c r="C20" s="413">
        <v>5986.5</v>
      </c>
      <c r="D20" s="400">
        <v>138.32581642027895</v>
      </c>
      <c r="E20" s="413">
        <v>54900.3</v>
      </c>
      <c r="F20" s="400">
        <v>179.73292131372688</v>
      </c>
      <c r="G20" s="382"/>
      <c r="H20" s="380"/>
      <c r="I20" s="15"/>
      <c r="J20" s="224"/>
    </row>
    <row r="21" spans="1:10" ht="12.75" customHeight="1">
      <c r="A21" s="389" t="s">
        <v>1212</v>
      </c>
      <c r="B21" s="380"/>
      <c r="C21" s="413">
        <v>994</v>
      </c>
      <c r="D21" s="400">
        <v>74</v>
      </c>
      <c r="E21" s="413">
        <v>53820.29999999999</v>
      </c>
      <c r="F21" s="400">
        <v>152.35625405283884</v>
      </c>
      <c r="G21" s="382"/>
      <c r="H21" s="380"/>
      <c r="I21" s="15"/>
      <c r="J21" s="224"/>
    </row>
    <row r="22" spans="1:10" ht="12.75" customHeight="1">
      <c r="A22" s="389" t="s">
        <v>282</v>
      </c>
      <c r="B22" s="380"/>
      <c r="C22" s="413">
        <v>4971.5</v>
      </c>
      <c r="D22" s="400">
        <v>103.89832042643066</v>
      </c>
      <c r="E22" s="413">
        <v>130717.19999999998</v>
      </c>
      <c r="F22" s="400">
        <v>153.3943222468046</v>
      </c>
      <c r="G22" s="382"/>
      <c r="H22" s="380"/>
      <c r="I22" s="15"/>
      <c r="J22" s="224"/>
    </row>
    <row r="23" spans="1:10" ht="12.75" customHeight="1">
      <c r="A23" s="389" t="s">
        <v>283</v>
      </c>
      <c r="B23" s="380"/>
      <c r="C23" s="413">
        <v>199.5</v>
      </c>
      <c r="D23" s="400">
        <v>180</v>
      </c>
      <c r="E23" s="413">
        <v>614494.1000000002</v>
      </c>
      <c r="F23" s="400">
        <v>255.0426070811745</v>
      </c>
      <c r="G23" s="382"/>
      <c r="H23" s="380"/>
      <c r="I23" s="15"/>
      <c r="J23" s="224"/>
    </row>
    <row r="24" spans="1:10" ht="12.75" customHeight="1">
      <c r="A24" s="389" t="s">
        <v>284</v>
      </c>
      <c r="B24" s="380"/>
      <c r="C24" s="413">
        <v>0</v>
      </c>
      <c r="D24" s="400">
        <v>0</v>
      </c>
      <c r="E24" s="413">
        <v>46282.7</v>
      </c>
      <c r="F24" s="400">
        <v>104.0349504242406</v>
      </c>
      <c r="G24" s="382"/>
      <c r="H24" s="380"/>
      <c r="I24" s="15"/>
      <c r="J24" s="224"/>
    </row>
    <row r="25" spans="1:10" ht="12.75" customHeight="1">
      <c r="A25" s="389" t="s">
        <v>285</v>
      </c>
      <c r="B25" s="380"/>
      <c r="C25" s="413">
        <v>5941.5</v>
      </c>
      <c r="D25" s="400">
        <v>71.75435496086847</v>
      </c>
      <c r="E25" s="413">
        <v>136953.09999999998</v>
      </c>
      <c r="F25" s="400">
        <v>150.86919682723504</v>
      </c>
      <c r="G25" s="382"/>
      <c r="H25" s="380"/>
      <c r="I25" s="15"/>
      <c r="J25" s="224"/>
    </row>
    <row r="26" spans="1:10" ht="12.75" customHeight="1">
      <c r="A26" s="389" t="s">
        <v>1213</v>
      </c>
      <c r="B26" s="380"/>
      <c r="C26" s="413">
        <v>0</v>
      </c>
      <c r="D26" s="400">
        <v>0</v>
      </c>
      <c r="E26" s="413">
        <v>26885.8</v>
      </c>
      <c r="F26" s="400">
        <v>124.80598308400717</v>
      </c>
      <c r="G26" s="382"/>
      <c r="H26" s="380"/>
      <c r="I26" s="15"/>
      <c r="J26" s="224"/>
    </row>
    <row r="27" spans="1:10" ht="12.75" customHeight="1">
      <c r="A27" s="389" t="s">
        <v>286</v>
      </c>
      <c r="B27" s="380"/>
      <c r="C27" s="413">
        <v>13077.2</v>
      </c>
      <c r="D27" s="400">
        <v>41.63811825161349</v>
      </c>
      <c r="E27" s="413">
        <v>311206.50000000006</v>
      </c>
      <c r="F27" s="400">
        <v>183.49913610416235</v>
      </c>
      <c r="G27" s="382"/>
      <c r="H27" s="380"/>
      <c r="I27" s="15"/>
      <c r="J27" s="224"/>
    </row>
    <row r="28" spans="1:10" ht="12.75" customHeight="1">
      <c r="A28" s="389" t="s">
        <v>1214</v>
      </c>
      <c r="B28" s="380"/>
      <c r="C28" s="413">
        <v>0</v>
      </c>
      <c r="D28" s="400">
        <v>0</v>
      </c>
      <c r="E28" s="413">
        <v>12462.5</v>
      </c>
      <c r="F28" s="400">
        <v>193.64</v>
      </c>
      <c r="G28" s="382"/>
      <c r="H28" s="380"/>
      <c r="I28" s="15"/>
      <c r="J28" s="224"/>
    </row>
    <row r="29" spans="1:10" ht="12.75" customHeight="1">
      <c r="A29" s="389" t="s">
        <v>287</v>
      </c>
      <c r="B29" s="380"/>
      <c r="C29" s="413">
        <v>7439.9</v>
      </c>
      <c r="D29" s="400">
        <v>80.14403419400799</v>
      </c>
      <c r="E29" s="413">
        <v>287184</v>
      </c>
      <c r="F29" s="400">
        <v>142.41928206306758</v>
      </c>
      <c r="G29" s="382"/>
      <c r="H29" s="380"/>
      <c r="I29" s="15"/>
      <c r="J29" s="224"/>
    </row>
    <row r="30" spans="1:10" ht="12.75" customHeight="1">
      <c r="A30" s="389" t="s">
        <v>288</v>
      </c>
      <c r="B30" s="380"/>
      <c r="C30" s="413">
        <v>16446.5</v>
      </c>
      <c r="D30" s="400">
        <v>76.12156993889276</v>
      </c>
      <c r="E30" s="413">
        <v>639129</v>
      </c>
      <c r="F30" s="400">
        <v>152.48686759636945</v>
      </c>
      <c r="G30" s="382"/>
      <c r="H30" s="380"/>
      <c r="I30" s="15"/>
      <c r="J30" s="224"/>
    </row>
    <row r="31" spans="1:10" ht="12.75" customHeight="1">
      <c r="A31" s="389" t="s">
        <v>1215</v>
      </c>
      <c r="B31" s="380"/>
      <c r="C31" s="413">
        <v>0</v>
      </c>
      <c r="D31" s="400">
        <v>0</v>
      </c>
      <c r="E31" s="413">
        <v>12483.4</v>
      </c>
      <c r="F31" s="400">
        <v>128.42010990595512</v>
      </c>
      <c r="G31" s="382"/>
      <c r="H31" s="380"/>
      <c r="I31" s="15"/>
      <c r="J31" s="224"/>
    </row>
    <row r="32" spans="1:10" ht="12.75" customHeight="1">
      <c r="A32" s="389" t="s">
        <v>289</v>
      </c>
      <c r="B32" s="380"/>
      <c r="C32" s="413">
        <v>0</v>
      </c>
      <c r="D32" s="400">
        <v>0</v>
      </c>
      <c r="E32" s="413">
        <v>595159.2999999999</v>
      </c>
      <c r="F32" s="400">
        <v>208.95512512364337</v>
      </c>
      <c r="G32" s="382"/>
      <c r="H32" s="380"/>
      <c r="I32" s="15"/>
      <c r="J32" s="224"/>
    </row>
    <row r="33" spans="1:10" ht="12.75" customHeight="1">
      <c r="A33" s="389" t="s">
        <v>290</v>
      </c>
      <c r="B33" s="380"/>
      <c r="C33" s="413">
        <v>248.5</v>
      </c>
      <c r="D33" s="400">
        <v>66</v>
      </c>
      <c r="E33" s="413">
        <v>67957.9</v>
      </c>
      <c r="F33" s="400">
        <v>97.57642010715459</v>
      </c>
      <c r="G33" s="382"/>
      <c r="H33" s="380"/>
      <c r="I33" s="15"/>
      <c r="J33" s="224"/>
    </row>
    <row r="34" spans="1:10" ht="12.75" customHeight="1">
      <c r="A34" s="389" t="s">
        <v>291</v>
      </c>
      <c r="B34" s="380"/>
      <c r="C34" s="413">
        <v>0</v>
      </c>
      <c r="D34" s="400">
        <v>0</v>
      </c>
      <c r="E34" s="413">
        <v>263991.10000000003</v>
      </c>
      <c r="F34" s="400">
        <v>130.49689061487302</v>
      </c>
      <c r="G34" s="382"/>
      <c r="H34" s="380"/>
      <c r="I34" s="15"/>
      <c r="J34" s="224"/>
    </row>
    <row r="35" spans="1:10" ht="12.75" customHeight="1">
      <c r="A35" s="389" t="s">
        <v>292</v>
      </c>
      <c r="B35" s="380"/>
      <c r="C35" s="413">
        <v>498.5</v>
      </c>
      <c r="D35" s="400">
        <v>120</v>
      </c>
      <c r="E35" s="413">
        <v>149536.29999999996</v>
      </c>
      <c r="F35" s="400">
        <v>195.04712701865708</v>
      </c>
      <c r="G35" s="382"/>
      <c r="H35" s="380"/>
      <c r="I35" s="15"/>
      <c r="J35" s="224"/>
    </row>
    <row r="36" spans="1:10" ht="12.75" customHeight="1">
      <c r="A36" s="389" t="s">
        <v>294</v>
      </c>
      <c r="B36" s="380"/>
      <c r="C36" s="413">
        <v>0</v>
      </c>
      <c r="D36" s="400">
        <v>0</v>
      </c>
      <c r="E36" s="413">
        <v>21114.2</v>
      </c>
      <c r="F36" s="400">
        <v>88.11183942559983</v>
      </c>
      <c r="G36" s="382"/>
      <c r="H36" s="380"/>
      <c r="I36" s="15"/>
      <c r="J36" s="224"/>
    </row>
    <row r="37" spans="1:10" ht="12.75" customHeight="1">
      <c r="A37" s="389" t="s">
        <v>295</v>
      </c>
      <c r="B37" s="380"/>
      <c r="C37" s="413">
        <v>5975.7</v>
      </c>
      <c r="D37" s="400">
        <v>85.34978328898707</v>
      </c>
      <c r="E37" s="413">
        <v>239892.1</v>
      </c>
      <c r="F37" s="400">
        <v>102.51505822826178</v>
      </c>
      <c r="G37" s="382"/>
      <c r="H37" s="380"/>
      <c r="I37" s="15"/>
      <c r="J37" s="224"/>
    </row>
    <row r="38" spans="1:10" ht="12.75" customHeight="1">
      <c r="A38" s="389" t="s">
        <v>1216</v>
      </c>
      <c r="B38" s="380"/>
      <c r="C38" s="413">
        <v>0</v>
      </c>
      <c r="D38" s="400">
        <v>0</v>
      </c>
      <c r="E38" s="413">
        <v>12457.1</v>
      </c>
      <c r="F38" s="400">
        <v>157.7892848255212</v>
      </c>
      <c r="G38" s="382"/>
      <c r="H38" s="380"/>
      <c r="I38" s="15"/>
      <c r="J38" s="224"/>
    </row>
    <row r="39" spans="1:10" ht="12.75" customHeight="1">
      <c r="A39" s="389" t="s">
        <v>293</v>
      </c>
      <c r="B39" s="380"/>
      <c r="C39" s="413">
        <v>991</v>
      </c>
      <c r="D39" s="400">
        <v>78</v>
      </c>
      <c r="E39" s="413">
        <v>245907.30000000002</v>
      </c>
      <c r="F39" s="400">
        <v>158.18054039062687</v>
      </c>
      <c r="G39" s="382"/>
      <c r="H39" s="380"/>
      <c r="I39" s="15"/>
      <c r="J39" s="224"/>
    </row>
    <row r="40" spans="1:10" ht="12.75" customHeight="1">
      <c r="A40" s="389" t="s">
        <v>1217</v>
      </c>
      <c r="B40" s="380"/>
      <c r="C40" s="413">
        <v>0</v>
      </c>
      <c r="D40" s="400">
        <v>0</v>
      </c>
      <c r="E40" s="413">
        <v>36357.3</v>
      </c>
      <c r="F40" s="400">
        <v>189.60530072365108</v>
      </c>
      <c r="G40" s="382"/>
      <c r="H40" s="380"/>
      <c r="I40" s="15"/>
      <c r="J40" s="224"/>
    </row>
    <row r="41" spans="1:10" ht="12.75" customHeight="1">
      <c r="A41" s="389" t="s">
        <v>1218</v>
      </c>
      <c r="B41" s="380"/>
      <c r="C41" s="413">
        <v>0</v>
      </c>
      <c r="D41" s="400">
        <v>0</v>
      </c>
      <c r="E41" s="413">
        <v>53864.600000000006</v>
      </c>
      <c r="F41" s="400">
        <v>146.56315465073536</v>
      </c>
      <c r="G41" s="382"/>
      <c r="H41" s="380"/>
      <c r="I41" s="15"/>
      <c r="J41" s="224"/>
    </row>
    <row r="42" spans="1:10" ht="12.75" customHeight="1">
      <c r="A42" s="389" t="s">
        <v>296</v>
      </c>
      <c r="B42" s="380"/>
      <c r="C42" s="413">
        <v>21904.4</v>
      </c>
      <c r="D42" s="400">
        <v>65.11060791439162</v>
      </c>
      <c r="E42" s="413">
        <v>266730.9</v>
      </c>
      <c r="F42" s="400">
        <v>121.42687967535817</v>
      </c>
      <c r="G42" s="382"/>
      <c r="H42" s="380"/>
      <c r="I42" s="15"/>
      <c r="J42" s="224"/>
    </row>
    <row r="43" spans="1:10" ht="12.75" customHeight="1">
      <c r="A43" s="389" t="s">
        <v>297</v>
      </c>
      <c r="B43" s="380"/>
      <c r="C43" s="413">
        <v>0</v>
      </c>
      <c r="D43" s="400">
        <v>0</v>
      </c>
      <c r="E43" s="413">
        <v>98934.59999999999</v>
      </c>
      <c r="F43" s="400">
        <v>104.98555510407886</v>
      </c>
      <c r="G43" s="382"/>
      <c r="H43" s="380"/>
      <c r="I43" s="15"/>
      <c r="J43" s="224"/>
    </row>
    <row r="44" spans="1:10" ht="12.75" customHeight="1">
      <c r="A44" s="389" t="s">
        <v>313</v>
      </c>
      <c r="B44" s="380"/>
      <c r="C44" s="413">
        <v>1244.6</v>
      </c>
      <c r="D44" s="400">
        <v>106.20359955005625</v>
      </c>
      <c r="E44" s="413">
        <v>113454</v>
      </c>
      <c r="F44" s="400">
        <v>139.14319636152098</v>
      </c>
      <c r="G44" s="382"/>
      <c r="H44" s="380"/>
      <c r="I44" s="15"/>
      <c r="J44" s="224"/>
    </row>
    <row r="45" spans="1:10" ht="12.75" customHeight="1">
      <c r="A45" s="389" t="s">
        <v>298</v>
      </c>
      <c r="B45" s="380"/>
      <c r="C45" s="413">
        <v>31098.3</v>
      </c>
      <c r="D45" s="400">
        <v>84.10543020036465</v>
      </c>
      <c r="E45" s="413">
        <v>697790.6000000001</v>
      </c>
      <c r="F45" s="400">
        <v>152.16639146471732</v>
      </c>
      <c r="G45" s="382"/>
      <c r="H45" s="380"/>
      <c r="I45" s="15"/>
      <c r="J45" s="224"/>
    </row>
    <row r="46" spans="1:10" ht="12.75" customHeight="1">
      <c r="A46" s="389" t="s">
        <v>1219</v>
      </c>
      <c r="B46" s="380"/>
      <c r="C46" s="413">
        <v>1496.2</v>
      </c>
      <c r="D46" s="400">
        <v>146.01497126052666</v>
      </c>
      <c r="E46" s="413">
        <v>105808.69999999998</v>
      </c>
      <c r="F46" s="400">
        <v>183.670589469486</v>
      </c>
      <c r="G46" s="382"/>
      <c r="H46" s="380"/>
      <c r="I46" s="15"/>
      <c r="J46" s="224"/>
    </row>
    <row r="47" spans="1:10" ht="12.75" customHeight="1">
      <c r="A47" s="389" t="s">
        <v>299</v>
      </c>
      <c r="B47" s="380"/>
      <c r="C47" s="413">
        <v>0</v>
      </c>
      <c r="D47" s="400">
        <v>0</v>
      </c>
      <c r="E47" s="413">
        <v>80739.99999999999</v>
      </c>
      <c r="F47" s="400">
        <v>114.11559326232353</v>
      </c>
      <c r="G47" s="382"/>
      <c r="H47" s="380"/>
      <c r="I47" s="15"/>
      <c r="J47" s="224"/>
    </row>
    <row r="48" spans="1:10" ht="12.75" customHeight="1">
      <c r="A48" s="389" t="s">
        <v>1220</v>
      </c>
      <c r="B48" s="380"/>
      <c r="C48" s="413">
        <v>0</v>
      </c>
      <c r="D48" s="400">
        <v>0</v>
      </c>
      <c r="E48" s="413">
        <v>17966.1</v>
      </c>
      <c r="F48" s="400">
        <v>108.66740694975537</v>
      </c>
      <c r="G48" s="382"/>
      <c r="H48" s="380"/>
      <c r="I48" s="15"/>
      <c r="J48" s="224"/>
    </row>
    <row r="49" spans="1:10" ht="12.75" customHeight="1">
      <c r="A49" s="389" t="s">
        <v>300</v>
      </c>
      <c r="B49" s="380"/>
      <c r="C49" s="413">
        <v>0</v>
      </c>
      <c r="D49" s="400">
        <v>0</v>
      </c>
      <c r="E49" s="413">
        <v>99051.2</v>
      </c>
      <c r="F49" s="400">
        <v>112.1195048621319</v>
      </c>
      <c r="G49" s="382"/>
      <c r="H49" s="380"/>
      <c r="I49" s="15"/>
      <c r="J49" s="224"/>
    </row>
    <row r="50" spans="1:10" ht="12.75" customHeight="1">
      <c r="A50" s="389" t="s">
        <v>301</v>
      </c>
      <c r="B50" s="380"/>
      <c r="C50" s="413">
        <v>10942.4</v>
      </c>
      <c r="D50" s="400">
        <v>133.60431897938295</v>
      </c>
      <c r="E50" s="413">
        <v>1034236.7999999999</v>
      </c>
      <c r="F50" s="400">
        <v>186.60127912679187</v>
      </c>
      <c r="G50" s="382"/>
      <c r="H50" s="380"/>
      <c r="I50" s="15"/>
      <c r="J50" s="224"/>
    </row>
    <row r="51" spans="1:10" ht="12.75" customHeight="1">
      <c r="A51" s="389" t="s">
        <v>302</v>
      </c>
      <c r="B51" s="380"/>
      <c r="C51" s="413">
        <v>498.2</v>
      </c>
      <c r="D51" s="400">
        <v>70</v>
      </c>
      <c r="E51" s="413">
        <v>238807.80000000008</v>
      </c>
      <c r="F51" s="400">
        <v>106.18372641094635</v>
      </c>
      <c r="G51" s="382"/>
      <c r="H51" s="380"/>
      <c r="I51" s="15"/>
      <c r="J51" s="224"/>
    </row>
    <row r="52" spans="1:10" ht="12.75" customHeight="1">
      <c r="A52" s="389" t="s">
        <v>303</v>
      </c>
      <c r="B52" s="380"/>
      <c r="C52" s="413">
        <v>0</v>
      </c>
      <c r="D52" s="400">
        <v>0</v>
      </c>
      <c r="E52" s="413">
        <v>193431.7</v>
      </c>
      <c r="F52" s="400">
        <v>125.55463039408743</v>
      </c>
      <c r="G52" s="382"/>
      <c r="H52" s="380"/>
      <c r="I52" s="15"/>
      <c r="J52" s="224"/>
    </row>
    <row r="53" spans="1:10" ht="12.75" customHeight="1">
      <c r="A53" s="389" t="s">
        <v>314</v>
      </c>
      <c r="B53" s="380"/>
      <c r="C53" s="413">
        <v>0</v>
      </c>
      <c r="D53" s="400">
        <v>0</v>
      </c>
      <c r="E53" s="413">
        <v>79028</v>
      </c>
      <c r="F53" s="400">
        <v>148.1377119501949</v>
      </c>
      <c r="G53" s="382"/>
      <c r="H53" s="380"/>
      <c r="I53" s="15"/>
      <c r="J53" s="224"/>
    </row>
    <row r="54" spans="1:10" ht="12.75" customHeight="1">
      <c r="A54" s="389" t="s">
        <v>1221</v>
      </c>
      <c r="B54" s="380"/>
      <c r="C54" s="501">
        <v>0</v>
      </c>
      <c r="D54" s="404">
        <v>0</v>
      </c>
      <c r="E54" s="501">
        <v>12413.2</v>
      </c>
      <c r="F54" s="404">
        <v>97.331026649051</v>
      </c>
      <c r="G54" s="382"/>
      <c r="H54" s="380"/>
      <c r="I54" s="15"/>
      <c r="J54" s="224"/>
    </row>
    <row r="55" spans="1:10" ht="12.75" customHeight="1">
      <c r="A55" s="389" t="s">
        <v>304</v>
      </c>
      <c r="B55" s="380"/>
      <c r="C55" s="501">
        <v>155847.90000000002</v>
      </c>
      <c r="D55" s="404">
        <v>83.56000690416745</v>
      </c>
      <c r="E55" s="501">
        <v>7955962.6</v>
      </c>
      <c r="F55" s="404">
        <v>162.05763640718976</v>
      </c>
      <c r="G55" s="382"/>
      <c r="H55" s="380"/>
      <c r="I55" s="15"/>
      <c r="J55" s="224"/>
    </row>
    <row r="56" spans="1:10" ht="12.75" customHeight="1">
      <c r="A56" s="392" t="s">
        <v>36</v>
      </c>
      <c r="B56" s="390"/>
      <c r="C56" s="393"/>
      <c r="D56" s="394"/>
      <c r="E56" s="393"/>
      <c r="F56" s="394"/>
      <c r="G56" s="382"/>
      <c r="H56" s="380"/>
      <c r="I56" s="15"/>
      <c r="J56" s="224"/>
    </row>
    <row r="57" spans="1:10" ht="12.75" customHeight="1">
      <c r="A57" s="392" t="s">
        <v>1222</v>
      </c>
      <c r="B57" s="390"/>
      <c r="C57" s="393" t="s">
        <v>0</v>
      </c>
      <c r="D57" s="394" t="s">
        <v>1</v>
      </c>
      <c r="E57" s="393" t="s">
        <v>0</v>
      </c>
      <c r="F57" s="394" t="s">
        <v>1</v>
      </c>
      <c r="G57" s="382"/>
      <c r="H57" s="380"/>
      <c r="I57" s="15"/>
      <c r="J57" s="224"/>
    </row>
    <row r="58" spans="1:10" ht="12.75" customHeight="1">
      <c r="A58" s="389" t="s">
        <v>1223</v>
      </c>
      <c r="B58" s="380"/>
      <c r="C58" s="413">
        <v>0</v>
      </c>
      <c r="D58" s="400">
        <v>0</v>
      </c>
      <c r="E58" s="413">
        <v>10979.6</v>
      </c>
      <c r="F58" s="400">
        <v>122.77976429013806</v>
      </c>
      <c r="G58" s="382"/>
      <c r="H58" s="380"/>
      <c r="I58" s="15"/>
      <c r="J58" s="224"/>
    </row>
    <row r="59" spans="1:10" ht="12.75" customHeight="1">
      <c r="A59" s="389" t="s">
        <v>1224</v>
      </c>
      <c r="B59" s="380"/>
      <c r="C59" s="413">
        <v>0</v>
      </c>
      <c r="D59" s="400">
        <v>0</v>
      </c>
      <c r="E59" s="413">
        <v>15855.1</v>
      </c>
      <c r="F59" s="400">
        <v>128.87099419114355</v>
      </c>
      <c r="G59" s="382"/>
      <c r="H59" s="380"/>
      <c r="I59" s="15"/>
      <c r="J59" s="224"/>
    </row>
    <row r="60" spans="1:10" ht="12.75" customHeight="1">
      <c r="A60" s="389" t="s">
        <v>1225</v>
      </c>
      <c r="B60" s="380"/>
      <c r="C60" s="501">
        <v>1989.2</v>
      </c>
      <c r="D60" s="404">
        <v>69.74954755680675</v>
      </c>
      <c r="E60" s="501">
        <v>47874.7</v>
      </c>
      <c r="F60" s="404">
        <v>154.45566238535176</v>
      </c>
      <c r="G60" s="382"/>
      <c r="H60" s="380"/>
      <c r="I60" s="15"/>
      <c r="J60" s="224"/>
    </row>
    <row r="61" spans="1:10" ht="12.75" customHeight="1">
      <c r="A61" s="821" t="s">
        <v>304</v>
      </c>
      <c r="B61" s="822"/>
      <c r="C61" s="823">
        <v>1989.2</v>
      </c>
      <c r="D61" s="824">
        <v>69.74954755680675</v>
      </c>
      <c r="E61" s="823">
        <v>74709.4</v>
      </c>
      <c r="F61" s="824">
        <v>144.3707712817932</v>
      </c>
      <c r="G61" s="825"/>
      <c r="H61" s="822"/>
      <c r="I61" s="15"/>
      <c r="J61" s="826"/>
    </row>
    <row r="62" spans="1:10" ht="12.75" customHeight="1">
      <c r="A62" s="389" t="s">
        <v>1226</v>
      </c>
      <c r="B62" s="390"/>
      <c r="C62" s="393">
        <v>157837.10000000003</v>
      </c>
      <c r="D62" s="394">
        <v>83.38595551996329</v>
      </c>
      <c r="E62" s="393">
        <v>8030671.999999999</v>
      </c>
      <c r="F62" s="394">
        <v>161.89309537234246</v>
      </c>
      <c r="G62" s="382"/>
      <c r="H62" s="380"/>
      <c r="I62" s="15"/>
      <c r="J62" s="224"/>
    </row>
    <row r="63" spans="1:10" ht="12.75" customHeight="1">
      <c r="A63" s="392" t="s">
        <v>1227</v>
      </c>
      <c r="B63" s="390"/>
      <c r="C63" s="393" t="s">
        <v>306</v>
      </c>
      <c r="D63" s="394" t="s">
        <v>307</v>
      </c>
      <c r="E63" s="393" t="s">
        <v>306</v>
      </c>
      <c r="F63" s="394" t="s">
        <v>307</v>
      </c>
      <c r="G63" s="382"/>
      <c r="H63" s="380"/>
      <c r="I63" s="15"/>
      <c r="J63" s="224"/>
    </row>
    <row r="64" spans="1:10" ht="12.75" customHeight="1">
      <c r="A64" s="389" t="s">
        <v>287</v>
      </c>
      <c r="B64" s="380"/>
      <c r="C64" s="413">
        <v>0</v>
      </c>
      <c r="D64" s="400">
        <v>0</v>
      </c>
      <c r="E64" s="413">
        <v>330</v>
      </c>
      <c r="F64" s="400">
        <v>1082.7575757575758</v>
      </c>
      <c r="G64" s="382"/>
      <c r="H64" s="380"/>
      <c r="I64" s="15"/>
      <c r="J64" s="224"/>
    </row>
    <row r="65" spans="1:10" ht="12.75" customHeight="1">
      <c r="A65" s="821" t="s">
        <v>1218</v>
      </c>
      <c r="B65" s="822"/>
      <c r="C65" s="823">
        <v>0</v>
      </c>
      <c r="D65" s="824">
        <v>0</v>
      </c>
      <c r="E65" s="823">
        <v>12</v>
      </c>
      <c r="F65" s="824">
        <v>1212.5</v>
      </c>
      <c r="G65" s="825"/>
      <c r="H65" s="822"/>
      <c r="I65" s="15"/>
      <c r="J65" s="826"/>
    </row>
    <row r="66" spans="1:10" ht="12.75" customHeight="1">
      <c r="A66" s="821" t="s">
        <v>304</v>
      </c>
      <c r="B66" s="822"/>
      <c r="C66" s="823">
        <v>0</v>
      </c>
      <c r="D66" s="824">
        <v>0</v>
      </c>
      <c r="E66" s="823">
        <v>342</v>
      </c>
      <c r="F66" s="824">
        <v>1087.3099415204679</v>
      </c>
      <c r="G66" s="825"/>
      <c r="H66" s="822"/>
      <c r="I66" s="15"/>
      <c r="J66" s="826"/>
    </row>
    <row r="67" spans="1:10" ht="12.75" customHeight="1">
      <c r="A67" s="821" t="s">
        <v>1226</v>
      </c>
      <c r="B67" s="827"/>
      <c r="C67" s="828">
        <v>157837.10000000003</v>
      </c>
      <c r="D67" s="829">
        <v>83.38595551996329</v>
      </c>
      <c r="E67" s="828">
        <v>8031512.499999999</v>
      </c>
      <c r="F67" s="829">
        <v>161.92723257294315</v>
      </c>
      <c r="G67" s="825"/>
      <c r="H67" s="822"/>
      <c r="I67" s="15"/>
      <c r="J67" s="224"/>
    </row>
    <row r="68" spans="1:10" ht="12.75" customHeight="1">
      <c r="A68" s="830" t="s">
        <v>1228</v>
      </c>
      <c r="B68" s="827"/>
      <c r="C68" s="828" t="s">
        <v>0</v>
      </c>
      <c r="D68" s="829" t="s">
        <v>1</v>
      </c>
      <c r="E68" s="828" t="s">
        <v>0</v>
      </c>
      <c r="F68" s="829" t="s">
        <v>1</v>
      </c>
      <c r="G68" s="825"/>
      <c r="H68" s="822"/>
      <c r="I68" s="15"/>
      <c r="J68" s="224"/>
    </row>
    <row r="69" spans="1:10" ht="12.75" customHeight="1">
      <c r="A69" s="821" t="s">
        <v>278</v>
      </c>
      <c r="B69" s="822"/>
      <c r="C69" s="831">
        <v>0</v>
      </c>
      <c r="D69" s="483">
        <v>0</v>
      </c>
      <c r="E69" s="831">
        <v>1183</v>
      </c>
      <c r="F69" s="483">
        <v>217.62890955198648</v>
      </c>
      <c r="G69" s="825"/>
      <c r="H69" s="822"/>
      <c r="I69" s="15"/>
      <c r="J69" s="224"/>
    </row>
    <row r="70" spans="1:10" ht="12.75" customHeight="1">
      <c r="A70" s="821" t="s">
        <v>294</v>
      </c>
      <c r="B70" s="822"/>
      <c r="C70" s="823">
        <v>0</v>
      </c>
      <c r="D70" s="824">
        <v>0</v>
      </c>
      <c r="E70" s="823">
        <v>497</v>
      </c>
      <c r="F70" s="824">
        <v>115</v>
      </c>
      <c r="G70" s="825"/>
      <c r="H70" s="822"/>
      <c r="I70" s="15"/>
      <c r="J70" s="224"/>
    </row>
    <row r="71" spans="1:10" ht="12.75" customHeight="1">
      <c r="A71" s="821" t="s">
        <v>304</v>
      </c>
      <c r="B71" s="822"/>
      <c r="C71" s="823">
        <v>0</v>
      </c>
      <c r="D71" s="824">
        <v>0</v>
      </c>
      <c r="E71" s="823">
        <v>1680</v>
      </c>
      <c r="F71" s="824">
        <v>187.26785714285714</v>
      </c>
      <c r="G71" s="825"/>
      <c r="H71" s="822"/>
      <c r="I71" s="15"/>
      <c r="J71" s="224"/>
    </row>
    <row r="72" spans="1:10" ht="18" customHeight="1">
      <c r="A72" s="821" t="s">
        <v>308</v>
      </c>
      <c r="B72" s="822"/>
      <c r="C72" s="823">
        <v>157837.10000000003</v>
      </c>
      <c r="D72" s="824">
        <v>83.38595551996329</v>
      </c>
      <c r="E72" s="832">
        <v>8032693.999999999</v>
      </c>
      <c r="F72" s="824">
        <v>161.93780293386007</v>
      </c>
      <c r="G72" s="825"/>
      <c r="H72" s="823"/>
      <c r="I72" s="15"/>
      <c r="J72" s="224"/>
    </row>
    <row r="73" spans="1:10" ht="12.75" customHeight="1">
      <c r="A73" s="830"/>
      <c r="B73" s="833"/>
      <c r="C73" s="834" t="s">
        <v>1801</v>
      </c>
      <c r="D73" s="835"/>
      <c r="E73" s="836" t="s">
        <v>1803</v>
      </c>
      <c r="F73" s="834"/>
      <c r="G73" s="837"/>
      <c r="H73" s="838"/>
      <c r="I73" s="15"/>
      <c r="J73" s="224"/>
    </row>
    <row r="74" spans="1:10" ht="12.75" customHeight="1">
      <c r="A74" s="821" t="s">
        <v>40</v>
      </c>
      <c r="B74" s="822" t="s">
        <v>41</v>
      </c>
      <c r="C74" s="831" t="s">
        <v>0</v>
      </c>
      <c r="D74" s="483" t="s">
        <v>164</v>
      </c>
      <c r="E74" s="831" t="s">
        <v>41</v>
      </c>
      <c r="F74" s="483" t="s">
        <v>0</v>
      </c>
      <c r="G74" s="825" t="s">
        <v>164</v>
      </c>
      <c r="H74" s="839" t="s">
        <v>2</v>
      </c>
      <c r="I74" s="15"/>
      <c r="J74" s="224"/>
    </row>
    <row r="75" spans="1:10" ht="12.75" customHeight="1">
      <c r="A75" s="821" t="s">
        <v>42</v>
      </c>
      <c r="B75" s="822">
        <v>0</v>
      </c>
      <c r="C75" s="831">
        <v>0</v>
      </c>
      <c r="D75" s="483">
        <v>0</v>
      </c>
      <c r="E75" s="840">
        <v>660</v>
      </c>
      <c r="F75" s="841">
        <v>32867.5</v>
      </c>
      <c r="G75" s="825">
        <v>102.17374884003955</v>
      </c>
      <c r="H75" s="839">
        <v>0.004091715680940916</v>
      </c>
      <c r="I75" s="15"/>
      <c r="J75" s="224"/>
    </row>
    <row r="76" spans="1:10" ht="12.75" customHeight="1">
      <c r="A76" s="821" t="s">
        <v>43</v>
      </c>
      <c r="B76" s="827">
        <v>3171</v>
      </c>
      <c r="C76" s="828">
        <v>157837.1</v>
      </c>
      <c r="D76" s="829">
        <v>83.3859555199633</v>
      </c>
      <c r="E76" s="842">
        <v>160440</v>
      </c>
      <c r="F76" s="843">
        <v>7999826.499999998</v>
      </c>
      <c r="G76" s="844">
        <v>162.18334514004778</v>
      </c>
      <c r="H76" s="845">
        <v>0.9959082843190591</v>
      </c>
      <c r="I76" s="15"/>
      <c r="J76" s="224"/>
    </row>
    <row r="77" spans="1:10" ht="12.75" customHeight="1">
      <c r="A77" s="830" t="s">
        <v>44</v>
      </c>
      <c r="B77" s="827">
        <v>3171</v>
      </c>
      <c r="C77" s="828">
        <v>157837.1</v>
      </c>
      <c r="D77" s="829">
        <v>83.3859555199633</v>
      </c>
      <c r="E77" s="842">
        <v>161100</v>
      </c>
      <c r="F77" s="843">
        <v>8032693.999999998</v>
      </c>
      <c r="G77" s="844">
        <v>161.93780293386013</v>
      </c>
      <c r="H77" s="845">
        <v>1</v>
      </c>
      <c r="I77" s="15"/>
      <c r="J77" s="224"/>
    </row>
    <row r="78" spans="1:9" ht="12.75" customHeight="1">
      <c r="A78" s="392"/>
      <c r="B78" s="380"/>
      <c r="C78" s="393"/>
      <c r="D78" s="394"/>
      <c r="E78" s="393"/>
      <c r="F78" s="394"/>
      <c r="G78" s="382"/>
      <c r="H78" s="380"/>
      <c r="I78" s="15"/>
    </row>
    <row r="79" spans="1:9" ht="12.75" customHeight="1">
      <c r="A79" s="392"/>
      <c r="B79" s="380"/>
      <c r="C79" s="393"/>
      <c r="D79" s="394"/>
      <c r="E79" s="393"/>
      <c r="F79" s="394"/>
      <c r="G79" s="382"/>
      <c r="H79" s="380"/>
      <c r="I79" s="15"/>
    </row>
    <row r="80" spans="1:9" ht="12.75" customHeight="1">
      <c r="A80" s="389"/>
      <c r="B80" s="380"/>
      <c r="C80" s="413"/>
      <c r="D80" s="400"/>
      <c r="E80" s="413"/>
      <c r="F80" s="400"/>
      <c r="G80" s="382"/>
      <c r="H80" s="380"/>
      <c r="I80" s="15"/>
    </row>
    <row r="81" spans="1:9" ht="12.75" customHeight="1">
      <c r="A81" s="389"/>
      <c r="B81" s="380"/>
      <c r="C81" s="413"/>
      <c r="D81" s="400"/>
      <c r="E81" s="413"/>
      <c r="F81" s="400"/>
      <c r="G81" s="382"/>
      <c r="H81" s="380"/>
      <c r="I81" s="15"/>
    </row>
    <row r="82" spans="1:9" ht="12.75" customHeight="1">
      <c r="A82" s="389"/>
      <c r="B82" s="380"/>
      <c r="C82" s="413"/>
      <c r="D82" s="400"/>
      <c r="E82" s="413"/>
      <c r="F82" s="400"/>
      <c r="G82" s="382"/>
      <c r="H82" s="380"/>
      <c r="I82" s="15"/>
    </row>
    <row r="83" spans="1:9" ht="12.75" customHeight="1">
      <c r="A83" s="389"/>
      <c r="B83" s="380"/>
      <c r="C83" s="413"/>
      <c r="D83" s="400"/>
      <c r="E83" s="413"/>
      <c r="F83" s="400"/>
      <c r="G83" s="382"/>
      <c r="H83" s="380"/>
      <c r="I83" s="15"/>
    </row>
    <row r="84" spans="1:9" ht="12.75" customHeight="1">
      <c r="A84" s="389"/>
      <c r="B84" s="380"/>
      <c r="C84" s="413"/>
      <c r="D84" s="400"/>
      <c r="E84" s="413"/>
      <c r="F84" s="400"/>
      <c r="G84" s="382"/>
      <c r="H84" s="380"/>
      <c r="I84" s="15"/>
    </row>
    <row r="85" spans="1:9" ht="12.75" customHeight="1">
      <c r="A85" s="389"/>
      <c r="B85" s="380"/>
      <c r="C85" s="413"/>
      <c r="D85" s="400"/>
      <c r="E85" s="413"/>
      <c r="F85" s="400"/>
      <c r="G85" s="382"/>
      <c r="H85" s="380"/>
      <c r="I85" s="15"/>
    </row>
    <row r="86" spans="1:9" ht="12.75" customHeight="1">
      <c r="A86" s="389"/>
      <c r="B86" s="380"/>
      <c r="C86" s="413"/>
      <c r="D86" s="400"/>
      <c r="E86" s="413"/>
      <c r="F86" s="400"/>
      <c r="G86" s="382"/>
      <c r="H86" s="380"/>
      <c r="I86" s="15"/>
    </row>
    <row r="87" spans="1:9" ht="12.75" customHeight="1">
      <c r="A87" s="389"/>
      <c r="B87" s="380"/>
      <c r="C87" s="413"/>
      <c r="D87" s="400"/>
      <c r="E87" s="413"/>
      <c r="F87" s="400"/>
      <c r="G87" s="382"/>
      <c r="H87" s="380"/>
      <c r="I87" s="15"/>
    </row>
    <row r="88" spans="1:9" ht="12.75" customHeight="1">
      <c r="A88" s="389"/>
      <c r="B88" s="380"/>
      <c r="C88" s="413"/>
      <c r="D88" s="400"/>
      <c r="E88" s="413"/>
      <c r="F88" s="400"/>
      <c r="G88" s="382"/>
      <c r="H88" s="380"/>
      <c r="I88" s="15"/>
    </row>
    <row r="89" spans="1:9" ht="12.75" customHeight="1">
      <c r="A89" s="389"/>
      <c r="B89" s="380"/>
      <c r="C89" s="413"/>
      <c r="D89" s="400"/>
      <c r="E89" s="413"/>
      <c r="F89" s="400"/>
      <c r="G89" s="382"/>
      <c r="H89" s="380"/>
      <c r="I89" s="15"/>
    </row>
    <row r="90" spans="1:9" ht="12.75" customHeight="1">
      <c r="A90" s="389"/>
      <c r="B90" s="380"/>
      <c r="C90" s="413"/>
      <c r="D90" s="400"/>
      <c r="E90" s="413"/>
      <c r="F90" s="400"/>
      <c r="G90" s="382"/>
      <c r="H90" s="380"/>
      <c r="I90" s="15"/>
    </row>
    <row r="91" spans="1:9" ht="12.75" customHeight="1">
      <c r="A91" s="389"/>
      <c r="B91" s="380"/>
      <c r="C91" s="413"/>
      <c r="D91" s="400"/>
      <c r="E91" s="413"/>
      <c r="F91" s="400"/>
      <c r="G91" s="382"/>
      <c r="H91" s="380"/>
      <c r="I91" s="15"/>
    </row>
    <row r="92" spans="1:9" ht="12.75" customHeight="1">
      <c r="A92" s="389"/>
      <c r="B92" s="380"/>
      <c r="C92" s="413"/>
      <c r="D92" s="400"/>
      <c r="E92" s="413"/>
      <c r="F92" s="400"/>
      <c r="G92" s="382"/>
      <c r="H92" s="380"/>
      <c r="I92" s="15"/>
    </row>
    <row r="93" spans="1:9" ht="12.75" customHeight="1">
      <c r="A93" s="389"/>
      <c r="B93" s="380"/>
      <c r="C93" s="413"/>
      <c r="D93" s="400"/>
      <c r="E93" s="413"/>
      <c r="F93" s="400"/>
      <c r="G93" s="382"/>
      <c r="H93" s="380"/>
      <c r="I93" s="15"/>
    </row>
    <row r="94" spans="1:9" ht="12.75" customHeight="1">
      <c r="A94" s="389"/>
      <c r="B94" s="380"/>
      <c r="C94" s="413"/>
      <c r="D94" s="400"/>
      <c r="E94" s="413"/>
      <c r="F94" s="400"/>
      <c r="G94" s="382"/>
      <c r="H94" s="380"/>
      <c r="I94" s="15"/>
    </row>
    <row r="95" spans="1:9" ht="12.75" customHeight="1">
      <c r="A95" s="389"/>
      <c r="B95" s="380"/>
      <c r="C95" s="413"/>
      <c r="D95" s="400"/>
      <c r="E95" s="413"/>
      <c r="F95" s="400"/>
      <c r="G95" s="382"/>
      <c r="H95" s="380"/>
      <c r="I95" s="15"/>
    </row>
    <row r="96" spans="1:9" ht="12.75" customHeight="1">
      <c r="A96" s="389"/>
      <c r="B96" s="380"/>
      <c r="C96" s="413"/>
      <c r="D96" s="400"/>
      <c r="E96" s="413"/>
      <c r="F96" s="400"/>
      <c r="G96" s="382"/>
      <c r="H96" s="380"/>
      <c r="I96" s="15"/>
    </row>
    <row r="97" spans="1:9" ht="12.75" customHeight="1">
      <c r="A97" s="389"/>
      <c r="B97" s="380"/>
      <c r="C97" s="413"/>
      <c r="D97" s="400"/>
      <c r="E97" s="413"/>
      <c r="F97" s="400"/>
      <c r="G97" s="382"/>
      <c r="H97" s="380"/>
      <c r="I97" s="15"/>
    </row>
    <row r="98" spans="1:9" ht="12.75" customHeight="1">
      <c r="A98" s="389"/>
      <c r="B98" s="380"/>
      <c r="C98" s="413"/>
      <c r="D98" s="400"/>
      <c r="E98" s="413"/>
      <c r="F98" s="400"/>
      <c r="G98" s="382"/>
      <c r="H98" s="380"/>
      <c r="I98" s="15"/>
    </row>
    <row r="99" spans="1:9" ht="12.75" customHeight="1">
      <c r="A99" s="389"/>
      <c r="B99" s="380"/>
      <c r="C99" s="413"/>
      <c r="D99" s="400"/>
      <c r="E99" s="413"/>
      <c r="F99" s="400"/>
      <c r="G99" s="382"/>
      <c r="H99" s="380"/>
      <c r="I99" s="15"/>
    </row>
    <row r="100" spans="1:9" ht="12.75" customHeight="1">
      <c r="A100" s="389"/>
      <c r="B100" s="380"/>
      <c r="C100" s="413"/>
      <c r="D100" s="400"/>
      <c r="E100" s="413"/>
      <c r="F100" s="400"/>
      <c r="G100" s="382"/>
      <c r="H100" s="380"/>
      <c r="I100" s="15"/>
    </row>
    <row r="101" spans="1:9" ht="12.75" customHeight="1">
      <c r="A101" s="389"/>
      <c r="B101" s="380"/>
      <c r="C101" s="413"/>
      <c r="D101" s="400"/>
      <c r="E101" s="413"/>
      <c r="F101" s="400"/>
      <c r="G101" s="382"/>
      <c r="H101" s="380"/>
      <c r="I101" s="15"/>
    </row>
    <row r="102" spans="1:9" ht="12.75" customHeight="1">
      <c r="A102" s="389"/>
      <c r="B102" s="380"/>
      <c r="C102" s="413"/>
      <c r="D102" s="400"/>
      <c r="E102" s="413"/>
      <c r="F102" s="400"/>
      <c r="G102" s="382"/>
      <c r="H102" s="380"/>
      <c r="I102" s="15"/>
    </row>
    <row r="103" spans="1:9" ht="12.75" customHeight="1">
      <c r="A103" s="389"/>
      <c r="B103" s="380"/>
      <c r="C103" s="413"/>
      <c r="D103" s="400"/>
      <c r="E103" s="413"/>
      <c r="F103" s="400"/>
      <c r="G103" s="382"/>
      <c r="H103" s="380"/>
      <c r="I103" s="15"/>
    </row>
    <row r="104" spans="1:9" ht="12.75" customHeight="1">
      <c r="A104" s="389"/>
      <c r="B104" s="380"/>
      <c r="C104" s="413"/>
      <c r="D104" s="400"/>
      <c r="E104" s="413"/>
      <c r="F104" s="400"/>
      <c r="G104" s="382"/>
      <c r="H104" s="380"/>
      <c r="I104" s="15"/>
    </row>
    <row r="105" spans="1:9" ht="12.75" customHeight="1">
      <c r="A105" s="389"/>
      <c r="B105" s="380"/>
      <c r="C105" s="413"/>
      <c r="D105" s="400"/>
      <c r="E105" s="413"/>
      <c r="F105" s="400"/>
      <c r="G105" s="382"/>
      <c r="H105" s="380"/>
      <c r="I105" s="15"/>
    </row>
    <row r="106" spans="1:9" ht="12.75" customHeight="1">
      <c r="A106" s="389"/>
      <c r="B106" s="380"/>
      <c r="C106" s="413"/>
      <c r="D106" s="400"/>
      <c r="E106" s="413"/>
      <c r="F106" s="400"/>
      <c r="G106" s="382"/>
      <c r="H106" s="380"/>
      <c r="I106" s="15"/>
    </row>
    <row r="107" spans="1:9" ht="12.75" customHeight="1">
      <c r="A107" s="389"/>
      <c r="B107" s="380"/>
      <c r="C107" s="413"/>
      <c r="D107" s="400"/>
      <c r="E107" s="413"/>
      <c r="F107" s="400"/>
      <c r="G107" s="382"/>
      <c r="H107" s="380"/>
      <c r="I107" s="15"/>
    </row>
    <row r="108" spans="1:9" ht="12.75" customHeight="1">
      <c r="A108" s="389"/>
      <c r="B108" s="380"/>
      <c r="C108" s="413"/>
      <c r="D108" s="400"/>
      <c r="E108" s="413"/>
      <c r="F108" s="400"/>
      <c r="G108" s="382"/>
      <c r="H108" s="380"/>
      <c r="I108" s="15"/>
    </row>
    <row r="109" spans="1:9" ht="12.75" customHeight="1">
      <c r="A109" s="389"/>
      <c r="B109" s="380"/>
      <c r="C109" s="413"/>
      <c r="D109" s="400"/>
      <c r="E109" s="413"/>
      <c r="F109" s="400"/>
      <c r="G109" s="382"/>
      <c r="H109" s="380"/>
      <c r="I109" s="15"/>
    </row>
    <row r="110" spans="1:9" ht="12.75" customHeight="1">
      <c r="A110" s="389"/>
      <c r="B110" s="380"/>
      <c r="C110" s="413"/>
      <c r="D110" s="400"/>
      <c r="E110" s="413"/>
      <c r="F110" s="400"/>
      <c r="G110" s="382"/>
      <c r="H110" s="380"/>
      <c r="I110" s="15"/>
    </row>
    <row r="111" spans="1:9" ht="12.75" customHeight="1">
      <c r="A111" s="389"/>
      <c r="B111" s="380"/>
      <c r="C111" s="413"/>
      <c r="D111" s="400"/>
      <c r="E111" s="413"/>
      <c r="F111" s="400"/>
      <c r="G111" s="382"/>
      <c r="H111" s="380"/>
      <c r="I111" s="15"/>
    </row>
    <row r="112" spans="1:9" ht="12.75" customHeight="1">
      <c r="A112" s="389"/>
      <c r="B112" s="380"/>
      <c r="C112" s="413"/>
      <c r="D112" s="400"/>
      <c r="E112" s="413"/>
      <c r="F112" s="400"/>
      <c r="G112" s="382"/>
      <c r="H112" s="380"/>
      <c r="I112" s="15"/>
    </row>
    <row r="113" spans="1:9" ht="12.75" customHeight="1">
      <c r="A113" s="389"/>
      <c r="B113" s="380"/>
      <c r="C113" s="413"/>
      <c r="D113" s="400"/>
      <c r="E113" s="413"/>
      <c r="F113" s="400"/>
      <c r="G113" s="382"/>
      <c r="H113" s="380"/>
      <c r="I113" s="15"/>
    </row>
    <row r="114" spans="1:9" ht="12.75" customHeight="1">
      <c r="A114" s="389"/>
      <c r="B114" s="380"/>
      <c r="C114" s="413"/>
      <c r="D114" s="400"/>
      <c r="E114" s="413"/>
      <c r="F114" s="400"/>
      <c r="G114" s="382"/>
      <c r="H114" s="380"/>
      <c r="I114" s="15"/>
    </row>
    <row r="115" spans="1:9" ht="12.75" customHeight="1">
      <c r="A115" s="389"/>
      <c r="B115" s="380"/>
      <c r="C115" s="413"/>
      <c r="D115" s="400"/>
      <c r="E115" s="413"/>
      <c r="F115" s="400"/>
      <c r="G115" s="382"/>
      <c r="H115" s="380"/>
      <c r="I115" s="15"/>
    </row>
    <row r="116" spans="1:9" ht="12.75" customHeight="1">
      <c r="A116" s="389"/>
      <c r="B116" s="380"/>
      <c r="C116" s="413"/>
      <c r="D116" s="400"/>
      <c r="E116" s="413"/>
      <c r="F116" s="400"/>
      <c r="G116" s="382"/>
      <c r="H116" s="380"/>
      <c r="I116" s="15"/>
    </row>
    <row r="117" spans="1:9" ht="12.75" customHeight="1">
      <c r="A117" s="389"/>
      <c r="B117" s="380"/>
      <c r="C117" s="413"/>
      <c r="D117" s="400"/>
      <c r="E117" s="413"/>
      <c r="F117" s="400"/>
      <c r="G117" s="382"/>
      <c r="H117" s="380"/>
      <c r="I117" s="15"/>
    </row>
    <row r="118" spans="1:9" ht="12.75" customHeight="1">
      <c r="A118" s="389"/>
      <c r="B118" s="380"/>
      <c r="C118" s="413"/>
      <c r="D118" s="400"/>
      <c r="E118" s="413"/>
      <c r="F118" s="400"/>
      <c r="G118" s="382"/>
      <c r="H118" s="380"/>
      <c r="I118" s="15"/>
    </row>
    <row r="119" spans="1:9" ht="12.75" customHeight="1">
      <c r="A119" s="389"/>
      <c r="B119" s="380"/>
      <c r="C119" s="413"/>
      <c r="D119" s="400"/>
      <c r="E119" s="413"/>
      <c r="F119" s="400"/>
      <c r="G119" s="382"/>
      <c r="H119" s="380"/>
      <c r="I119" s="15"/>
    </row>
    <row r="120" spans="1:9" ht="12.75" customHeight="1">
      <c r="A120" s="389"/>
      <c r="B120" s="380"/>
      <c r="C120" s="413"/>
      <c r="D120" s="400"/>
      <c r="E120" s="413"/>
      <c r="F120" s="400"/>
      <c r="G120" s="382"/>
      <c r="H120" s="380"/>
      <c r="I120" s="15"/>
    </row>
    <row r="121" spans="1:9" ht="12.75" customHeight="1">
      <c r="A121" s="389"/>
      <c r="B121" s="380"/>
      <c r="C121" s="413"/>
      <c r="D121" s="400"/>
      <c r="E121" s="413"/>
      <c r="F121" s="400"/>
      <c r="G121" s="382"/>
      <c r="H121" s="380"/>
      <c r="I121" s="15"/>
    </row>
    <row r="122" spans="1:9" ht="12.75" customHeight="1">
      <c r="A122" s="389"/>
      <c r="B122" s="380"/>
      <c r="C122" s="413"/>
      <c r="D122" s="400"/>
      <c r="E122" s="413"/>
      <c r="F122" s="400"/>
      <c r="G122" s="382"/>
      <c r="H122" s="380"/>
      <c r="I122" s="15"/>
    </row>
    <row r="123" spans="1:9" ht="12.75" customHeight="1">
      <c r="A123" s="389"/>
      <c r="B123" s="380"/>
      <c r="C123" s="413"/>
      <c r="D123" s="400"/>
      <c r="E123" s="413"/>
      <c r="F123" s="400"/>
      <c r="G123" s="382"/>
      <c r="H123" s="380"/>
      <c r="I123" s="15"/>
    </row>
    <row r="124" spans="1:9" ht="12.75" customHeight="1">
      <c r="A124" s="389"/>
      <c r="B124" s="380"/>
      <c r="C124" s="501"/>
      <c r="D124" s="404"/>
      <c r="E124" s="501"/>
      <c r="F124" s="404"/>
      <c r="G124" s="382"/>
      <c r="H124" s="380"/>
      <c r="I124" s="15"/>
    </row>
    <row r="125" spans="1:9" ht="12.75" customHeight="1">
      <c r="A125" s="389"/>
      <c r="B125" s="380"/>
      <c r="C125" s="501"/>
      <c r="D125" s="404"/>
      <c r="E125" s="501"/>
      <c r="F125" s="404"/>
      <c r="G125" s="382"/>
      <c r="H125" s="380"/>
      <c r="I125" s="15"/>
    </row>
    <row r="126" spans="1:9" ht="12.75" customHeight="1">
      <c r="A126" s="392"/>
      <c r="B126" s="380"/>
      <c r="C126" s="413"/>
      <c r="D126" s="400"/>
      <c r="E126" s="413"/>
      <c r="F126" s="400"/>
      <c r="G126" s="382"/>
      <c r="H126" s="380"/>
      <c r="I126" s="15"/>
    </row>
    <row r="127" spans="1:9" ht="12.75" customHeight="1">
      <c r="A127" s="392"/>
      <c r="B127" s="390"/>
      <c r="C127" s="393"/>
      <c r="D127" s="394"/>
      <c r="E127" s="393"/>
      <c r="F127" s="394"/>
      <c r="G127" s="382"/>
      <c r="H127" s="380"/>
      <c r="I127" s="15"/>
    </row>
    <row r="128" spans="1:9" ht="12.75" customHeight="1">
      <c r="A128" s="389"/>
      <c r="B128" s="380"/>
      <c r="C128" s="413"/>
      <c r="D128" s="400"/>
      <c r="E128" s="413"/>
      <c r="F128" s="400"/>
      <c r="G128" s="382"/>
      <c r="H128" s="380"/>
      <c r="I128" s="15"/>
    </row>
    <row r="129" spans="1:9" ht="12.75" customHeight="1">
      <c r="A129" s="389"/>
      <c r="B129" s="380"/>
      <c r="C129" s="413"/>
      <c r="D129" s="400"/>
      <c r="E129" s="413"/>
      <c r="F129" s="400"/>
      <c r="G129" s="382"/>
      <c r="H129" s="380"/>
      <c r="I129" s="15"/>
    </row>
    <row r="130" spans="1:9" ht="12.75" customHeight="1">
      <c r="A130" s="389"/>
      <c r="B130" s="380"/>
      <c r="C130" s="413"/>
      <c r="D130" s="400"/>
      <c r="E130" s="501"/>
      <c r="F130" s="404"/>
      <c r="G130" s="382"/>
      <c r="H130" s="380"/>
      <c r="I130" s="15"/>
    </row>
    <row r="131" spans="1:9" ht="12.75" customHeight="1">
      <c r="A131" s="389"/>
      <c r="B131" s="380"/>
      <c r="C131" s="501"/>
      <c r="D131" s="404"/>
      <c r="E131" s="501"/>
      <c r="F131" s="404"/>
      <c r="G131" s="382"/>
      <c r="H131" s="380"/>
      <c r="I131" s="15"/>
    </row>
    <row r="132" spans="1:9" ht="12.75" customHeight="1">
      <c r="A132" s="389"/>
      <c r="B132" s="380"/>
      <c r="C132" s="501"/>
      <c r="D132" s="404"/>
      <c r="E132" s="501"/>
      <c r="F132" s="404"/>
      <c r="G132" s="382"/>
      <c r="H132" s="380"/>
      <c r="I132" s="15"/>
    </row>
    <row r="133" spans="1:9" ht="12.75" customHeight="1">
      <c r="A133" s="392"/>
      <c r="B133" s="390"/>
      <c r="C133" s="393"/>
      <c r="D133" s="394"/>
      <c r="E133" s="393"/>
      <c r="F133" s="394"/>
      <c r="G133" s="382"/>
      <c r="H133" s="380"/>
      <c r="I133" s="15"/>
    </row>
    <row r="134" spans="1:9" ht="12.75" customHeight="1">
      <c r="A134" s="389"/>
      <c r="B134" s="380"/>
      <c r="C134" s="413"/>
      <c r="D134" s="400"/>
      <c r="E134" s="413"/>
      <c r="F134" s="400"/>
      <c r="G134" s="382"/>
      <c r="H134" s="380"/>
      <c r="I134" s="15"/>
    </row>
    <row r="135" spans="1:9" ht="12.75" customHeight="1">
      <c r="A135" s="389"/>
      <c r="B135" s="380"/>
      <c r="C135" s="501"/>
      <c r="D135" s="404"/>
      <c r="E135" s="501"/>
      <c r="F135" s="404"/>
      <c r="G135" s="382"/>
      <c r="H135" s="380"/>
      <c r="I135" s="15"/>
    </row>
    <row r="136" spans="1:9" ht="12.75" customHeight="1">
      <c r="A136" s="389"/>
      <c r="B136" s="380"/>
      <c r="C136" s="501"/>
      <c r="D136" s="404"/>
      <c r="E136" s="501"/>
      <c r="F136" s="404"/>
      <c r="G136" s="382"/>
      <c r="H136" s="380"/>
      <c r="I136" s="15"/>
    </row>
    <row r="137" spans="1:9" ht="12.75" customHeight="1">
      <c r="A137" s="389"/>
      <c r="B137" s="380"/>
      <c r="C137" s="413"/>
      <c r="D137" s="400"/>
      <c r="E137" s="413"/>
      <c r="F137" s="400"/>
      <c r="G137" s="382"/>
      <c r="H137" s="380"/>
      <c r="I137" s="15"/>
    </row>
    <row r="138" spans="1:9" ht="12.75" customHeight="1">
      <c r="A138" s="392"/>
      <c r="B138" s="390"/>
      <c r="C138" s="393"/>
      <c r="D138" s="394"/>
      <c r="E138" s="393"/>
      <c r="F138" s="394"/>
      <c r="G138" s="382"/>
      <c r="H138" s="380"/>
      <c r="I138" s="15"/>
    </row>
    <row r="139" spans="1:9" ht="12.75" customHeight="1">
      <c r="A139" s="389"/>
      <c r="B139" s="380"/>
      <c r="C139" s="413"/>
      <c r="D139" s="400"/>
      <c r="E139" s="413"/>
      <c r="F139" s="400"/>
      <c r="G139" s="382"/>
      <c r="H139" s="380"/>
      <c r="I139" s="15"/>
    </row>
    <row r="140" spans="1:9" ht="12.75" customHeight="1">
      <c r="A140" s="389"/>
      <c r="B140" s="380"/>
      <c r="C140" s="413"/>
      <c r="D140" s="400"/>
      <c r="E140" s="501"/>
      <c r="F140" s="404"/>
      <c r="G140" s="382"/>
      <c r="H140" s="380"/>
      <c r="I140" s="15"/>
    </row>
    <row r="141" spans="1:9" ht="12.75" customHeight="1">
      <c r="A141" s="389"/>
      <c r="B141" s="380"/>
      <c r="C141" s="501"/>
      <c r="D141" s="404"/>
      <c r="E141" s="501"/>
      <c r="F141" s="404"/>
      <c r="G141" s="382"/>
      <c r="H141" s="380"/>
      <c r="I141" s="15"/>
    </row>
    <row r="142" spans="1:9" ht="12.75" customHeight="1">
      <c r="A142" s="389"/>
      <c r="B142" s="380"/>
      <c r="C142" s="501"/>
      <c r="D142" s="404"/>
      <c r="E142" s="501"/>
      <c r="F142" s="404"/>
      <c r="G142" s="382"/>
      <c r="H142" s="380"/>
      <c r="I142" s="15"/>
    </row>
    <row r="143" spans="1:9" ht="12.75" customHeight="1">
      <c r="A143" s="389"/>
      <c r="B143" s="380"/>
      <c r="C143" s="501"/>
      <c r="D143" s="400"/>
      <c r="F143" s="400"/>
      <c r="G143" s="382"/>
      <c r="H143" s="501"/>
      <c r="I143" s="15"/>
    </row>
    <row r="144" spans="1:9" ht="12.75" customHeight="1">
      <c r="A144" s="392"/>
      <c r="B144" s="390"/>
      <c r="C144" s="393"/>
      <c r="D144" s="394"/>
      <c r="E144" s="393"/>
      <c r="F144" s="394"/>
      <c r="G144" s="502"/>
      <c r="H144" s="390"/>
      <c r="I144" s="15"/>
    </row>
    <row r="145" spans="1:9" ht="12.75" customHeight="1">
      <c r="A145" s="389"/>
      <c r="B145" s="380"/>
      <c r="C145" s="413"/>
      <c r="D145" s="400"/>
      <c r="E145" s="624"/>
      <c r="F145" s="415"/>
      <c r="G145" s="498"/>
      <c r="H145" s="500"/>
      <c r="I145" s="15"/>
    </row>
    <row r="146" spans="1:9" ht="12.75" customHeight="1">
      <c r="A146" s="389"/>
      <c r="B146" s="390"/>
      <c r="C146" s="393"/>
      <c r="D146" s="394"/>
      <c r="E146" s="625"/>
      <c r="F146" s="424"/>
      <c r="G146" s="626"/>
      <c r="H146" s="555"/>
      <c r="I146" s="15"/>
    </row>
    <row r="147" spans="1:9" ht="12.75" customHeight="1">
      <c r="A147" s="389"/>
      <c r="B147" s="390"/>
      <c r="C147" s="393"/>
      <c r="D147" s="394"/>
      <c r="E147" s="625"/>
      <c r="F147" s="424"/>
      <c r="G147" s="626"/>
      <c r="H147" s="555"/>
      <c r="I147" s="15"/>
    </row>
    <row r="148" spans="1:9" ht="12.75" customHeight="1">
      <c r="A148" s="392"/>
      <c r="B148" s="380"/>
      <c r="C148" s="393"/>
      <c r="D148" s="394"/>
      <c r="E148" s="393"/>
      <c r="F148" s="394"/>
      <c r="G148" s="382"/>
      <c r="H148" s="380"/>
      <c r="I148" s="15"/>
    </row>
    <row r="149" spans="1:9" ht="12.75" customHeight="1">
      <c r="A149" s="141"/>
      <c r="B149" s="138"/>
      <c r="C149" s="142"/>
      <c r="D149" s="584"/>
      <c r="E149" s="142"/>
      <c r="F149" s="585"/>
      <c r="G149" s="138"/>
      <c r="H149" s="586"/>
      <c r="I149" s="15"/>
    </row>
    <row r="150" spans="1:9" ht="12.75" customHeight="1">
      <c r="A150" s="141"/>
      <c r="B150" s="138"/>
      <c r="C150" s="142"/>
      <c r="D150" s="584"/>
      <c r="E150" s="142"/>
      <c r="F150" s="585"/>
      <c r="G150" s="138"/>
      <c r="H150" s="586"/>
      <c r="I150" s="15"/>
    </row>
    <row r="151" spans="1:9" ht="12.75" customHeight="1">
      <c r="A151" s="141"/>
      <c r="B151" s="138"/>
      <c r="C151" s="142"/>
      <c r="D151" s="584"/>
      <c r="E151" s="142"/>
      <c r="F151" s="585"/>
      <c r="G151" s="138"/>
      <c r="H151" s="586"/>
      <c r="I151" s="15"/>
    </row>
    <row r="152" spans="1:9" ht="12.75" customHeight="1">
      <c r="A152" s="141"/>
      <c r="B152" s="138"/>
      <c r="C152" s="142"/>
      <c r="D152" s="584"/>
      <c r="E152" s="142"/>
      <c r="F152" s="585"/>
      <c r="G152" s="138"/>
      <c r="H152" s="586"/>
      <c r="I152" s="15"/>
    </row>
    <row r="153" spans="1:9" ht="12.75" customHeight="1">
      <c r="A153" s="141"/>
      <c r="B153" s="138"/>
      <c r="C153" s="142"/>
      <c r="D153" s="584"/>
      <c r="E153" s="142"/>
      <c r="F153" s="585"/>
      <c r="G153" s="138"/>
      <c r="H153" s="586"/>
      <c r="I153" s="15"/>
    </row>
    <row r="154" spans="1:9" ht="12.75" customHeight="1">
      <c r="A154" s="141"/>
      <c r="B154" s="138"/>
      <c r="C154" s="142"/>
      <c r="D154" s="584"/>
      <c r="E154" s="142"/>
      <c r="F154" s="585"/>
      <c r="G154" s="138"/>
      <c r="H154" s="586"/>
      <c r="I154" s="15"/>
    </row>
    <row r="155" spans="1:9" ht="12.75" customHeight="1">
      <c r="A155" s="141"/>
      <c r="B155" s="138"/>
      <c r="C155" s="142"/>
      <c r="D155" s="584"/>
      <c r="E155" s="142"/>
      <c r="F155" s="585"/>
      <c r="G155" s="138"/>
      <c r="H155" s="586"/>
      <c r="I155" s="15"/>
    </row>
    <row r="156" spans="1:9" ht="12.75" customHeight="1">
      <c r="A156" s="141"/>
      <c r="B156" s="138"/>
      <c r="C156" s="142"/>
      <c r="D156" s="584"/>
      <c r="E156" s="142"/>
      <c r="F156" s="585"/>
      <c r="G156" s="138"/>
      <c r="H156" s="586"/>
      <c r="I156" s="15"/>
    </row>
    <row r="157" spans="1:9" ht="12.75" customHeight="1">
      <c r="A157" s="141"/>
      <c r="B157" s="138"/>
      <c r="C157" s="142"/>
      <c r="D157" s="584"/>
      <c r="E157" s="142"/>
      <c r="F157" s="585"/>
      <c r="G157" s="138"/>
      <c r="H157" s="586"/>
      <c r="I157" s="15"/>
    </row>
    <row r="158" spans="1:9" ht="12.75" customHeight="1">
      <c r="A158" s="141"/>
      <c r="B158" s="138"/>
      <c r="C158" s="142"/>
      <c r="D158" s="584"/>
      <c r="E158" s="142"/>
      <c r="F158" s="585"/>
      <c r="G158" s="138"/>
      <c r="H158" s="586"/>
      <c r="I158" s="15"/>
    </row>
    <row r="159" spans="1:9" ht="12.75" customHeight="1">
      <c r="A159" s="141"/>
      <c r="B159" s="138"/>
      <c r="C159" s="142"/>
      <c r="D159" s="584"/>
      <c r="E159" s="142"/>
      <c r="F159" s="585"/>
      <c r="G159" s="138"/>
      <c r="H159" s="586"/>
      <c r="I159" s="15"/>
    </row>
    <row r="160" spans="1:9" ht="12.75" customHeight="1">
      <c r="A160" s="141"/>
      <c r="B160" s="138"/>
      <c r="C160" s="142"/>
      <c r="D160" s="584"/>
      <c r="E160" s="142"/>
      <c r="F160" s="585"/>
      <c r="G160" s="138"/>
      <c r="H160" s="586"/>
      <c r="I160" s="15"/>
    </row>
    <row r="161" spans="1:9" ht="12.75" customHeight="1">
      <c r="A161" s="141"/>
      <c r="B161" s="138"/>
      <c r="C161" s="142"/>
      <c r="D161" s="584"/>
      <c r="E161" s="142"/>
      <c r="F161" s="585"/>
      <c r="G161" s="138"/>
      <c r="H161" s="586"/>
      <c r="I161" s="15"/>
    </row>
    <row r="162" spans="1:9" ht="12.75" customHeight="1">
      <c r="A162" s="141"/>
      <c r="B162" s="138"/>
      <c r="C162" s="142"/>
      <c r="D162" s="584"/>
      <c r="E162" s="142"/>
      <c r="F162" s="585"/>
      <c r="G162" s="138"/>
      <c r="H162" s="586"/>
      <c r="I162" s="15"/>
    </row>
    <row r="163" spans="1:9" ht="12.75" customHeight="1">
      <c r="A163" s="141"/>
      <c r="B163" s="138"/>
      <c r="C163" s="142"/>
      <c r="D163" s="584"/>
      <c r="E163" s="142"/>
      <c r="F163" s="585"/>
      <c r="G163" s="138"/>
      <c r="H163" s="586"/>
      <c r="I163" s="15"/>
    </row>
    <row r="164" spans="1:9" ht="12.75" customHeight="1">
      <c r="A164" s="141"/>
      <c r="B164" s="138"/>
      <c r="C164" s="142"/>
      <c r="D164" s="584"/>
      <c r="E164" s="142"/>
      <c r="F164" s="585"/>
      <c r="G164" s="138"/>
      <c r="H164" s="586"/>
      <c r="I164" s="15"/>
    </row>
    <row r="165" spans="1:9" ht="12.75" customHeight="1">
      <c r="A165" s="141"/>
      <c r="B165" s="138"/>
      <c r="C165" s="142"/>
      <c r="D165" s="584"/>
      <c r="E165" s="142"/>
      <c r="F165" s="585"/>
      <c r="G165" s="138"/>
      <c r="H165" s="586"/>
      <c r="I165" s="15"/>
    </row>
    <row r="166" spans="1:9" ht="12.75" customHeight="1">
      <c r="A166" s="141"/>
      <c r="B166" s="138"/>
      <c r="C166" s="142"/>
      <c r="D166" s="584"/>
      <c r="E166" s="142"/>
      <c r="F166" s="585"/>
      <c r="G166" s="138"/>
      <c r="H166" s="586"/>
      <c r="I166" s="15"/>
    </row>
    <row r="167" spans="1:9" ht="12.75" customHeight="1">
      <c r="A167" s="141"/>
      <c r="B167" s="138"/>
      <c r="C167" s="142"/>
      <c r="D167" s="584"/>
      <c r="E167" s="142"/>
      <c r="F167" s="585"/>
      <c r="G167" s="138"/>
      <c r="H167" s="586"/>
      <c r="I167" s="15"/>
    </row>
    <row r="168" spans="1:9" ht="12.75" customHeight="1">
      <c r="A168" s="141"/>
      <c r="B168" s="138"/>
      <c r="C168" s="142"/>
      <c r="D168" s="584"/>
      <c r="E168" s="142"/>
      <c r="F168" s="585"/>
      <c r="G168" s="138"/>
      <c r="H168" s="586"/>
      <c r="I168" s="15"/>
    </row>
    <row r="169" spans="1:9" ht="12.75" customHeight="1">
      <c r="A169" s="141"/>
      <c r="B169" s="138"/>
      <c r="C169" s="142"/>
      <c r="D169" s="584"/>
      <c r="E169" s="142"/>
      <c r="F169" s="585"/>
      <c r="G169" s="138"/>
      <c r="H169" s="586"/>
      <c r="I169" s="15"/>
    </row>
    <row r="170" spans="1:9" ht="12.75" customHeight="1">
      <c r="A170" s="141"/>
      <c r="B170" s="138"/>
      <c r="C170" s="142"/>
      <c r="D170" s="584"/>
      <c r="E170" s="142"/>
      <c r="F170" s="585"/>
      <c r="G170" s="138"/>
      <c r="H170" s="586"/>
      <c r="I170" s="15"/>
    </row>
    <row r="171" spans="1:9" ht="12.75" customHeight="1">
      <c r="A171" s="141"/>
      <c r="B171" s="138"/>
      <c r="C171" s="142"/>
      <c r="D171" s="584"/>
      <c r="E171" s="142"/>
      <c r="F171" s="585"/>
      <c r="G171" s="138"/>
      <c r="H171" s="586"/>
      <c r="I171" s="15"/>
    </row>
    <row r="172" spans="1:9" ht="12.75" customHeight="1">
      <c r="A172" s="141"/>
      <c r="B172" s="138"/>
      <c r="C172" s="142"/>
      <c r="D172" s="584"/>
      <c r="E172" s="142"/>
      <c r="F172" s="585"/>
      <c r="G172" s="138"/>
      <c r="H172" s="586"/>
      <c r="I172" s="15"/>
    </row>
    <row r="173" spans="1:9" ht="12.75" customHeight="1">
      <c r="A173" s="141"/>
      <c r="B173" s="138"/>
      <c r="C173" s="142"/>
      <c r="D173" s="584"/>
      <c r="E173" s="142"/>
      <c r="F173" s="585"/>
      <c r="G173" s="138"/>
      <c r="H173" s="586"/>
      <c r="I173" s="15"/>
    </row>
    <row r="174" spans="1:9" ht="12.75" customHeight="1">
      <c r="A174" s="141"/>
      <c r="B174" s="138"/>
      <c r="C174" s="142"/>
      <c r="D174" s="584"/>
      <c r="E174" s="142"/>
      <c r="F174" s="585"/>
      <c r="G174" s="138"/>
      <c r="H174" s="586"/>
      <c r="I174" s="15"/>
    </row>
    <row r="175" spans="1:9" ht="12.75" customHeight="1">
      <c r="A175" s="141"/>
      <c r="B175" s="138"/>
      <c r="C175" s="142"/>
      <c r="D175" s="584"/>
      <c r="E175" s="142"/>
      <c r="F175" s="585"/>
      <c r="G175" s="138"/>
      <c r="H175" s="586"/>
      <c r="I175" s="15"/>
    </row>
    <row r="176" spans="1:9" ht="12.75" customHeight="1">
      <c r="A176" s="141"/>
      <c r="B176" s="138"/>
      <c r="C176" s="142"/>
      <c r="D176" s="584"/>
      <c r="E176" s="142"/>
      <c r="F176" s="585"/>
      <c r="G176" s="138"/>
      <c r="H176" s="586"/>
      <c r="I176" s="15"/>
    </row>
    <row r="177" spans="1:9" ht="12.75" customHeight="1">
      <c r="A177" s="141"/>
      <c r="B177" s="138"/>
      <c r="C177" s="142"/>
      <c r="D177" s="584"/>
      <c r="E177" s="142"/>
      <c r="F177" s="585"/>
      <c r="G177" s="138"/>
      <c r="H177" s="586"/>
      <c r="I177" s="15"/>
    </row>
    <row r="178" spans="1:9" ht="12.75" customHeight="1">
      <c r="A178" s="141"/>
      <c r="B178" s="138"/>
      <c r="C178" s="142"/>
      <c r="D178" s="584"/>
      <c r="E178" s="142"/>
      <c r="F178" s="585"/>
      <c r="G178" s="138"/>
      <c r="H178" s="586"/>
      <c r="I178" s="15"/>
    </row>
    <row r="179" spans="1:9" ht="12.75" customHeight="1">
      <c r="A179" s="141"/>
      <c r="B179" s="138"/>
      <c r="C179" s="142"/>
      <c r="D179" s="584"/>
      <c r="E179" s="142"/>
      <c r="F179" s="585"/>
      <c r="G179" s="138"/>
      <c r="H179" s="586"/>
      <c r="I179" s="15"/>
    </row>
    <row r="180" spans="1:9" ht="12.75" customHeight="1">
      <c r="A180" s="141"/>
      <c r="B180" s="138"/>
      <c r="C180" s="142"/>
      <c r="D180" s="584"/>
      <c r="E180" s="142"/>
      <c r="F180" s="585"/>
      <c r="G180" s="138"/>
      <c r="H180" s="586"/>
      <c r="I180" s="15"/>
    </row>
    <row r="181" spans="1:9" ht="12.75" customHeight="1">
      <c r="A181" s="141"/>
      <c r="B181" s="138"/>
      <c r="C181" s="142"/>
      <c r="D181" s="584"/>
      <c r="E181" s="142"/>
      <c r="F181" s="585"/>
      <c r="G181" s="138"/>
      <c r="H181" s="586"/>
      <c r="I181" s="15"/>
    </row>
    <row r="182" spans="1:9" ht="12.75" customHeight="1">
      <c r="A182" s="141"/>
      <c r="B182" s="138"/>
      <c r="C182" s="142"/>
      <c r="D182" s="584"/>
      <c r="E182" s="142"/>
      <c r="F182" s="585"/>
      <c r="G182" s="138"/>
      <c r="H182" s="586"/>
      <c r="I182" s="15"/>
    </row>
    <row r="183" spans="1:9" ht="12.75" customHeight="1">
      <c r="A183" s="141"/>
      <c r="B183" s="138"/>
      <c r="C183" s="142"/>
      <c r="D183" s="584"/>
      <c r="E183" s="142"/>
      <c r="F183" s="585"/>
      <c r="G183" s="138"/>
      <c r="H183" s="586"/>
      <c r="I183" s="15"/>
    </row>
    <row r="184" spans="1:9" ht="12.75" customHeight="1">
      <c r="A184" s="141"/>
      <c r="B184" s="138"/>
      <c r="C184" s="142"/>
      <c r="D184" s="584"/>
      <c r="E184" s="142"/>
      <c r="F184" s="585"/>
      <c r="G184" s="138"/>
      <c r="H184" s="586"/>
      <c r="I184" s="15"/>
    </row>
    <row r="185" spans="1:9" ht="12.75" customHeight="1">
      <c r="A185" s="141"/>
      <c r="B185" s="138"/>
      <c r="C185" s="142"/>
      <c r="D185" s="584"/>
      <c r="E185" s="142"/>
      <c r="F185" s="585"/>
      <c r="G185" s="138"/>
      <c r="H185" s="586"/>
      <c r="I185" s="15"/>
    </row>
    <row r="186" spans="1:9" ht="12.75" customHeight="1">
      <c r="A186" s="141"/>
      <c r="B186" s="138"/>
      <c r="C186" s="142"/>
      <c r="D186" s="584"/>
      <c r="E186" s="142"/>
      <c r="F186" s="585"/>
      <c r="G186" s="138"/>
      <c r="H186" s="586"/>
      <c r="I186" s="15"/>
    </row>
    <row r="187" spans="1:9" ht="12.75" customHeight="1">
      <c r="A187" s="141"/>
      <c r="B187" s="138"/>
      <c r="C187" s="142"/>
      <c r="D187" s="584"/>
      <c r="E187" s="142"/>
      <c r="F187" s="585"/>
      <c r="G187" s="138"/>
      <c r="H187" s="586"/>
      <c r="I187" s="15"/>
    </row>
    <row r="188" spans="1:9" ht="12.75" customHeight="1">
      <c r="A188" s="141"/>
      <c r="B188" s="138"/>
      <c r="C188" s="142"/>
      <c r="D188" s="584"/>
      <c r="E188" s="142"/>
      <c r="F188" s="585"/>
      <c r="G188" s="138"/>
      <c r="H188" s="586"/>
      <c r="I188" s="15"/>
    </row>
    <row r="189" spans="1:9" ht="12.75" customHeight="1">
      <c r="A189" s="141"/>
      <c r="B189" s="138"/>
      <c r="C189" s="142"/>
      <c r="D189" s="584"/>
      <c r="E189" s="142"/>
      <c r="F189" s="585"/>
      <c r="G189" s="138"/>
      <c r="H189" s="586"/>
      <c r="I189" s="15"/>
    </row>
    <row r="190" spans="1:9" ht="12.75" customHeight="1">
      <c r="A190" s="141"/>
      <c r="B190" s="138"/>
      <c r="C190" s="142"/>
      <c r="D190" s="584"/>
      <c r="E190" s="142"/>
      <c r="F190" s="585"/>
      <c r="G190" s="138"/>
      <c r="H190" s="586"/>
      <c r="I190" s="15"/>
    </row>
    <row r="191" spans="1:9" ht="12.75" customHeight="1">
      <c r="A191" s="141"/>
      <c r="B191" s="138"/>
      <c r="C191" s="142"/>
      <c r="D191" s="584"/>
      <c r="E191" s="142"/>
      <c r="F191" s="585"/>
      <c r="G191" s="138"/>
      <c r="H191" s="586"/>
      <c r="I191" s="15"/>
    </row>
    <row r="192" spans="1:9" ht="12.75" customHeight="1">
      <c r="A192" s="141"/>
      <c r="B192" s="138"/>
      <c r="C192" s="142"/>
      <c r="D192" s="584"/>
      <c r="E192" s="142"/>
      <c r="F192" s="585"/>
      <c r="G192" s="138"/>
      <c r="H192" s="586"/>
      <c r="I192" s="15"/>
    </row>
    <row r="193" spans="1:9" ht="12.75" customHeight="1">
      <c r="A193" s="141"/>
      <c r="B193" s="138"/>
      <c r="C193" s="587"/>
      <c r="D193" s="588"/>
      <c r="E193" s="587"/>
      <c r="F193" s="589"/>
      <c r="G193" s="138"/>
      <c r="H193" s="586"/>
      <c r="I193" s="15"/>
    </row>
    <row r="194" spans="1:9" ht="12.75" customHeight="1">
      <c r="A194" s="143"/>
      <c r="B194" s="144"/>
      <c r="C194" s="145"/>
      <c r="D194" s="590"/>
      <c r="E194" s="145"/>
      <c r="F194" s="591"/>
      <c r="G194" s="138"/>
      <c r="H194" s="586"/>
      <c r="I194" s="15"/>
    </row>
    <row r="195" spans="1:9" ht="12.75" customHeight="1">
      <c r="A195" s="146"/>
      <c r="B195" s="144"/>
      <c r="C195" s="145"/>
      <c r="D195" s="590"/>
      <c r="E195" s="145"/>
      <c r="F195" s="591"/>
      <c r="G195" s="138"/>
      <c r="H195" s="586"/>
      <c r="I195" s="15"/>
    </row>
    <row r="196" spans="1:9" ht="12.75" customHeight="1">
      <c r="A196" s="146"/>
      <c r="B196" s="144"/>
      <c r="C196" s="145"/>
      <c r="D196" s="590"/>
      <c r="E196" s="145"/>
      <c r="F196" s="592"/>
      <c r="G196" s="138"/>
      <c r="H196" s="586"/>
      <c r="I196" s="15"/>
    </row>
    <row r="197" spans="1:9" ht="12.75" customHeight="1">
      <c r="A197" s="143"/>
      <c r="B197" s="144"/>
      <c r="C197" s="593"/>
      <c r="D197" s="594"/>
      <c r="E197" s="595"/>
      <c r="F197" s="596"/>
      <c r="G197" s="138"/>
      <c r="H197" s="586"/>
      <c r="I197" s="15"/>
    </row>
    <row r="198" spans="1:9" ht="12.75" customHeight="1">
      <c r="A198" s="143"/>
      <c r="B198" s="144"/>
      <c r="C198" s="147"/>
      <c r="D198" s="597"/>
      <c r="E198" s="147"/>
      <c r="F198" s="598"/>
      <c r="G198" s="138"/>
      <c r="H198" s="586"/>
      <c r="I198" s="15"/>
    </row>
    <row r="199" spans="1:9" ht="12.75" customHeight="1">
      <c r="A199" s="143"/>
      <c r="B199" s="144"/>
      <c r="C199" s="147"/>
      <c r="D199" s="597"/>
      <c r="E199" s="145"/>
      <c r="F199" s="599"/>
      <c r="G199" s="138"/>
      <c r="H199" s="586"/>
      <c r="I199" s="15"/>
    </row>
    <row r="200" spans="1:9" ht="12.75" customHeight="1">
      <c r="A200" s="143"/>
      <c r="B200" s="144"/>
      <c r="C200" s="145"/>
      <c r="D200" s="590"/>
      <c r="E200" s="145"/>
      <c r="F200" s="599"/>
      <c r="G200" s="138"/>
      <c r="H200" s="586"/>
      <c r="I200" s="15"/>
    </row>
    <row r="201" spans="1:9" ht="12.75" customHeight="1">
      <c r="A201" s="143"/>
      <c r="B201" s="144"/>
      <c r="C201" s="145"/>
      <c r="D201" s="590"/>
      <c r="E201" s="145"/>
      <c r="F201" s="599"/>
      <c r="G201" s="138"/>
      <c r="H201" s="586"/>
      <c r="I201" s="15"/>
    </row>
    <row r="202" spans="1:9" ht="12.75" customHeight="1">
      <c r="A202" s="146"/>
      <c r="B202" s="144"/>
      <c r="C202" s="145"/>
      <c r="D202" s="590"/>
      <c r="E202" s="145"/>
      <c r="F202" s="592"/>
      <c r="G202" s="138"/>
      <c r="H202" s="586"/>
      <c r="I202" s="15"/>
    </row>
    <row r="203" spans="1:9" ht="12.75" customHeight="1">
      <c r="A203" s="143"/>
      <c r="B203" s="144"/>
      <c r="C203" s="147"/>
      <c r="D203" s="597"/>
      <c r="E203" s="147"/>
      <c r="F203" s="600"/>
      <c r="G203" s="138"/>
      <c r="H203" s="586"/>
      <c r="I203" s="15"/>
    </row>
    <row r="204" spans="1:9" ht="12.75" customHeight="1">
      <c r="A204" s="143"/>
      <c r="B204" s="144"/>
      <c r="C204" s="145"/>
      <c r="D204" s="590"/>
      <c r="E204" s="145"/>
      <c r="F204" s="592"/>
      <c r="G204" s="138"/>
      <c r="H204" s="586"/>
      <c r="I204" s="15"/>
    </row>
    <row r="205" spans="1:9" ht="12.75" customHeight="1">
      <c r="A205" s="143"/>
      <c r="B205" s="144"/>
      <c r="C205" s="145"/>
      <c r="D205" s="590"/>
      <c r="E205" s="145"/>
      <c r="F205" s="592"/>
      <c r="G205" s="138"/>
      <c r="H205" s="586"/>
      <c r="I205" s="15"/>
    </row>
    <row r="206" spans="1:9" ht="12.75" customHeight="1">
      <c r="A206" s="143"/>
      <c r="B206" s="144"/>
      <c r="C206" s="145"/>
      <c r="D206" s="590"/>
      <c r="E206" s="145"/>
      <c r="F206" s="592"/>
      <c r="G206" s="138"/>
      <c r="H206" s="586"/>
      <c r="I206" s="15"/>
    </row>
    <row r="207" spans="1:9" ht="12.75" customHeight="1">
      <c r="A207" s="146"/>
      <c r="B207" s="144"/>
      <c r="C207" s="145"/>
      <c r="D207" s="590"/>
      <c r="E207" s="145"/>
      <c r="F207" s="591"/>
      <c r="G207" s="138"/>
      <c r="H207" s="586"/>
      <c r="I207" s="15"/>
    </row>
    <row r="208" spans="1:9" ht="12.75" customHeight="1">
      <c r="A208" s="143"/>
      <c r="B208" s="144"/>
      <c r="C208" s="593"/>
      <c r="D208" s="594"/>
      <c r="E208" s="142"/>
      <c r="F208" s="596"/>
      <c r="G208" s="138"/>
      <c r="H208" s="586"/>
      <c r="I208" s="15"/>
    </row>
    <row r="209" spans="1:9" ht="12.75" customHeight="1">
      <c r="A209" s="143"/>
      <c r="B209" s="144"/>
      <c r="C209" s="147"/>
      <c r="D209" s="597"/>
      <c r="E209" s="145"/>
      <c r="F209" s="592"/>
      <c r="G209" s="138"/>
      <c r="H209" s="586"/>
      <c r="I209" s="15"/>
    </row>
    <row r="210" spans="1:9" ht="12.75" customHeight="1">
      <c r="A210" s="143"/>
      <c r="B210" s="144"/>
      <c r="C210" s="145"/>
      <c r="D210" s="590"/>
      <c r="E210" s="145"/>
      <c r="F210" s="592"/>
      <c r="G210" s="138"/>
      <c r="H210" s="586"/>
      <c r="I210" s="15"/>
    </row>
    <row r="211" spans="1:9" ht="12.75" customHeight="1">
      <c r="A211" s="143"/>
      <c r="B211" s="144"/>
      <c r="C211" s="145"/>
      <c r="D211" s="590"/>
      <c r="E211" s="145"/>
      <c r="F211" s="592"/>
      <c r="G211" s="138"/>
      <c r="H211" s="586"/>
      <c r="I211" s="15"/>
    </row>
    <row r="212" spans="1:9" ht="12.75" customHeight="1">
      <c r="A212" s="143"/>
      <c r="B212" s="144"/>
      <c r="C212" s="145"/>
      <c r="D212" s="590"/>
      <c r="E212" s="601"/>
      <c r="F212" s="591"/>
      <c r="G212" s="145"/>
      <c r="H212" s="586"/>
      <c r="I212" s="15"/>
    </row>
    <row r="213" spans="1:10" ht="12.75" customHeight="1">
      <c r="A213" s="602"/>
      <c r="B213" s="603"/>
      <c r="C213" s="604"/>
      <c r="D213" s="605"/>
      <c r="E213" s="604"/>
      <c r="F213" s="606"/>
      <c r="G213" s="607"/>
      <c r="H213" s="608"/>
      <c r="I213" s="15"/>
      <c r="J213" s="552"/>
    </row>
    <row r="214" spans="1:10" ht="12.75" customHeight="1">
      <c r="A214" s="143"/>
      <c r="B214" s="609"/>
      <c r="C214" s="610"/>
      <c r="D214" s="597"/>
      <c r="E214" s="609"/>
      <c r="F214" s="610"/>
      <c r="G214" s="597"/>
      <c r="H214" s="597"/>
      <c r="I214" s="15"/>
      <c r="J214" s="552"/>
    </row>
    <row r="215" spans="1:10" ht="12.75" customHeight="1">
      <c r="A215" s="143"/>
      <c r="B215" s="611"/>
      <c r="C215" s="612"/>
      <c r="D215" s="590"/>
      <c r="E215" s="611"/>
      <c r="F215" s="613"/>
      <c r="G215" s="614"/>
      <c r="H215" s="615"/>
      <c r="I215" s="15"/>
      <c r="J215" s="552"/>
    </row>
    <row r="216" spans="1:9" ht="12.75" customHeight="1">
      <c r="A216" s="143"/>
      <c r="B216" s="611"/>
      <c r="C216" s="612"/>
      <c r="D216" s="590"/>
      <c r="E216" s="611"/>
      <c r="F216" s="613"/>
      <c r="G216" s="614"/>
      <c r="H216" s="615"/>
      <c r="I216" s="15"/>
    </row>
    <row r="217" spans="1:9" ht="12.75" customHeight="1">
      <c r="A217" s="143"/>
      <c r="B217" s="616"/>
      <c r="C217" s="145"/>
      <c r="D217" s="590"/>
      <c r="E217" s="616"/>
      <c r="F217" s="617"/>
      <c r="G217" s="591"/>
      <c r="H217" s="618"/>
      <c r="I217" s="15"/>
    </row>
    <row r="218" spans="1:9" ht="12.75" customHeight="1">
      <c r="A218" s="395"/>
      <c r="B218" s="396"/>
      <c r="C218" s="397"/>
      <c r="D218" s="398"/>
      <c r="E218" s="399"/>
      <c r="F218" s="400"/>
      <c r="G218" s="444"/>
      <c r="H218" s="396"/>
      <c r="I218" s="15"/>
    </row>
    <row r="219" spans="1:9" ht="12.75" customHeight="1">
      <c r="A219" s="395"/>
      <c r="B219" s="396"/>
      <c r="C219" s="397"/>
      <c r="D219" s="398"/>
      <c r="E219" s="399"/>
      <c r="F219" s="400"/>
      <c r="G219" s="444"/>
      <c r="H219" s="396"/>
      <c r="I219" s="15"/>
    </row>
    <row r="220" spans="1:9" ht="12.75" customHeight="1">
      <c r="A220" s="395"/>
      <c r="B220" s="396"/>
      <c r="C220" s="397"/>
      <c r="D220" s="398"/>
      <c r="E220" s="399"/>
      <c r="F220" s="400"/>
      <c r="G220" s="444"/>
      <c r="H220" s="396"/>
      <c r="I220" s="15"/>
    </row>
    <row r="221" spans="1:9" ht="12.75" customHeight="1">
      <c r="A221" s="395"/>
      <c r="B221" s="396"/>
      <c r="C221" s="397"/>
      <c r="D221" s="398"/>
      <c r="E221" s="399"/>
      <c r="F221" s="400"/>
      <c r="G221" s="444"/>
      <c r="H221" s="396"/>
      <c r="I221" s="15"/>
    </row>
    <row r="222" spans="1:9" ht="12.75" customHeight="1">
      <c r="A222" s="395"/>
      <c r="B222" s="396"/>
      <c r="C222" s="397"/>
      <c r="D222" s="398"/>
      <c r="E222" s="399"/>
      <c r="F222" s="400"/>
      <c r="G222" s="444"/>
      <c r="H222" s="396"/>
      <c r="I222" s="15"/>
    </row>
    <row r="223" spans="1:9" ht="12.75" customHeight="1">
      <c r="A223" s="395"/>
      <c r="B223" s="396"/>
      <c r="C223" s="397"/>
      <c r="D223" s="398"/>
      <c r="E223" s="399"/>
      <c r="F223" s="400"/>
      <c r="G223" s="444"/>
      <c r="H223" s="396"/>
      <c r="I223" s="15"/>
    </row>
    <row r="224" spans="1:9" ht="12.75" customHeight="1">
      <c r="A224" s="395"/>
      <c r="B224" s="396"/>
      <c r="C224" s="397"/>
      <c r="D224" s="398"/>
      <c r="E224" s="399"/>
      <c r="F224" s="400"/>
      <c r="G224" s="444"/>
      <c r="H224" s="396"/>
      <c r="I224" s="15"/>
    </row>
    <row r="225" spans="1:9" ht="12.75" customHeight="1">
      <c r="A225" s="395"/>
      <c r="B225" s="396"/>
      <c r="C225" s="397"/>
      <c r="D225" s="398"/>
      <c r="E225" s="399"/>
      <c r="F225" s="400"/>
      <c r="G225" s="444"/>
      <c r="H225" s="396"/>
      <c r="I225" s="15"/>
    </row>
    <row r="226" spans="1:9" ht="12.75" customHeight="1">
      <c r="A226" s="395"/>
      <c r="B226" s="396"/>
      <c r="C226" s="397"/>
      <c r="D226" s="398"/>
      <c r="E226" s="399"/>
      <c r="F226" s="400"/>
      <c r="G226" s="444"/>
      <c r="H226" s="396"/>
      <c r="I226" s="15"/>
    </row>
    <row r="227" spans="1:9" ht="12.75" customHeight="1">
      <c r="A227" s="395"/>
      <c r="B227" s="396"/>
      <c r="C227" s="397"/>
      <c r="D227" s="398"/>
      <c r="E227" s="399"/>
      <c r="F227" s="400"/>
      <c r="G227" s="444"/>
      <c r="H227" s="396"/>
      <c r="I227" s="15"/>
    </row>
    <row r="228" spans="1:9" ht="12.75" customHeight="1">
      <c r="A228" s="395"/>
      <c r="B228" s="396"/>
      <c r="C228" s="397"/>
      <c r="D228" s="398"/>
      <c r="E228" s="399"/>
      <c r="F228" s="400"/>
      <c r="G228" s="444"/>
      <c r="H228" s="396"/>
      <c r="I228" s="15"/>
    </row>
    <row r="229" spans="1:9" ht="12.75" customHeight="1">
      <c r="A229" s="395"/>
      <c r="B229" s="396"/>
      <c r="C229" s="397"/>
      <c r="D229" s="398"/>
      <c r="E229" s="399"/>
      <c r="F229" s="400"/>
      <c r="G229" s="444"/>
      <c r="H229" s="396"/>
      <c r="I229" s="15"/>
    </row>
    <row r="230" spans="1:9" ht="12.75" customHeight="1">
      <c r="A230" s="395"/>
      <c r="B230" s="396"/>
      <c r="C230" s="397"/>
      <c r="D230" s="398"/>
      <c r="E230" s="399"/>
      <c r="F230" s="400"/>
      <c r="G230" s="444"/>
      <c r="H230" s="396"/>
      <c r="I230" s="15"/>
    </row>
    <row r="231" spans="1:9" ht="12.75" customHeight="1">
      <c r="A231" s="395"/>
      <c r="B231" s="396"/>
      <c r="C231" s="397"/>
      <c r="D231" s="398"/>
      <c r="E231" s="399"/>
      <c r="F231" s="400"/>
      <c r="G231" s="444"/>
      <c r="H231" s="396"/>
      <c r="I231" s="15"/>
    </row>
    <row r="232" spans="1:9" ht="12.75" customHeight="1">
      <c r="A232" s="395"/>
      <c r="B232" s="396"/>
      <c r="C232" s="397"/>
      <c r="D232" s="398"/>
      <c r="E232" s="399"/>
      <c r="F232" s="400"/>
      <c r="G232" s="444"/>
      <c r="H232" s="396"/>
      <c r="I232" s="15"/>
    </row>
    <row r="233" spans="1:9" ht="12.75" customHeight="1">
      <c r="A233" s="395"/>
      <c r="B233" s="396"/>
      <c r="C233" s="397"/>
      <c r="D233" s="398"/>
      <c r="E233" s="399"/>
      <c r="F233" s="400"/>
      <c r="G233" s="444"/>
      <c r="H233" s="396"/>
      <c r="I233" s="15"/>
    </row>
    <row r="234" spans="1:9" ht="12.75" customHeight="1">
      <c r="A234" s="395"/>
      <c r="B234" s="396"/>
      <c r="C234" s="397"/>
      <c r="D234" s="398"/>
      <c r="E234" s="399"/>
      <c r="F234" s="400"/>
      <c r="G234" s="444"/>
      <c r="H234" s="396"/>
      <c r="I234" s="15"/>
    </row>
    <row r="235" spans="1:9" ht="12.75" customHeight="1">
      <c r="A235" s="395"/>
      <c r="B235" s="396"/>
      <c r="C235" s="397"/>
      <c r="D235" s="398"/>
      <c r="E235" s="399"/>
      <c r="F235" s="400"/>
      <c r="G235" s="444"/>
      <c r="H235" s="396"/>
      <c r="I235" s="15"/>
    </row>
    <row r="236" spans="1:9" ht="12.75" customHeight="1">
      <c r="A236" s="395"/>
      <c r="B236" s="396"/>
      <c r="C236" s="397"/>
      <c r="D236" s="398"/>
      <c r="E236" s="399"/>
      <c r="F236" s="400"/>
      <c r="G236" s="444"/>
      <c r="H236" s="396"/>
      <c r="I236" s="15"/>
    </row>
    <row r="237" spans="1:9" ht="12.75" customHeight="1">
      <c r="A237" s="395"/>
      <c r="B237" s="396"/>
      <c r="C237" s="397"/>
      <c r="D237" s="398"/>
      <c r="E237" s="399"/>
      <c r="F237" s="400"/>
      <c r="G237" s="444"/>
      <c r="H237" s="396"/>
      <c r="I237" s="15"/>
    </row>
    <row r="238" spans="1:9" ht="12.75" customHeight="1">
      <c r="A238" s="395"/>
      <c r="B238" s="396"/>
      <c r="C238" s="397"/>
      <c r="D238" s="398"/>
      <c r="E238" s="399"/>
      <c r="F238" s="400"/>
      <c r="G238" s="444"/>
      <c r="H238" s="396"/>
      <c r="I238" s="15"/>
    </row>
    <row r="239" spans="1:9" ht="12.75" customHeight="1">
      <c r="A239" s="395"/>
      <c r="B239" s="396"/>
      <c r="C239" s="397"/>
      <c r="D239" s="398"/>
      <c r="E239" s="399"/>
      <c r="F239" s="400"/>
      <c r="G239" s="444"/>
      <c r="H239" s="396"/>
      <c r="I239" s="15"/>
    </row>
    <row r="240" spans="1:9" ht="12.75" customHeight="1">
      <c r="A240" s="395"/>
      <c r="B240" s="396"/>
      <c r="C240" s="397"/>
      <c r="D240" s="398"/>
      <c r="E240" s="399"/>
      <c r="F240" s="400"/>
      <c r="G240" s="444"/>
      <c r="H240" s="396"/>
      <c r="I240" s="15"/>
    </row>
    <row r="241" spans="1:9" ht="12.75" customHeight="1">
      <c r="A241" s="395"/>
      <c r="B241" s="396"/>
      <c r="C241" s="397"/>
      <c r="D241" s="398"/>
      <c r="E241" s="399"/>
      <c r="F241" s="400"/>
      <c r="G241" s="444"/>
      <c r="H241" s="396"/>
      <c r="I241" s="15"/>
    </row>
    <row r="242" spans="1:9" ht="12.75" customHeight="1">
      <c r="A242" s="395"/>
      <c r="B242" s="396"/>
      <c r="C242" s="397"/>
      <c r="D242" s="398"/>
      <c r="E242" s="399"/>
      <c r="F242" s="400"/>
      <c r="G242" s="444"/>
      <c r="H242" s="396"/>
      <c r="I242" s="15"/>
    </row>
    <row r="243" spans="1:9" ht="12.75" customHeight="1">
      <c r="A243" s="395"/>
      <c r="B243" s="396"/>
      <c r="C243" s="397"/>
      <c r="D243" s="398"/>
      <c r="E243" s="399"/>
      <c r="F243" s="400"/>
      <c r="G243" s="444"/>
      <c r="H243" s="396"/>
      <c r="I243" s="15"/>
    </row>
    <row r="244" spans="1:9" ht="12.75" customHeight="1">
      <c r="A244" s="395"/>
      <c r="B244" s="396"/>
      <c r="C244" s="397"/>
      <c r="D244" s="398"/>
      <c r="E244" s="399"/>
      <c r="F244" s="400"/>
      <c r="G244" s="444"/>
      <c r="H244" s="396"/>
      <c r="I244" s="15"/>
    </row>
    <row r="245" spans="1:9" ht="12.75" customHeight="1">
      <c r="A245" s="395"/>
      <c r="B245" s="396"/>
      <c r="C245" s="397"/>
      <c r="D245" s="398"/>
      <c r="E245" s="399"/>
      <c r="F245" s="400"/>
      <c r="G245" s="444"/>
      <c r="H245" s="396"/>
      <c r="I245" s="15"/>
    </row>
    <row r="246" spans="1:9" ht="12.75" customHeight="1">
      <c r="A246" s="395"/>
      <c r="B246" s="396"/>
      <c r="C246" s="397"/>
      <c r="D246" s="398"/>
      <c r="E246" s="399"/>
      <c r="F246" s="400"/>
      <c r="G246" s="444"/>
      <c r="H246" s="396"/>
      <c r="I246" s="15"/>
    </row>
    <row r="247" spans="1:9" ht="12.75" customHeight="1">
      <c r="A247" s="395"/>
      <c r="B247" s="396"/>
      <c r="C247" s="397"/>
      <c r="D247" s="398"/>
      <c r="E247" s="399"/>
      <c r="F247" s="400"/>
      <c r="G247" s="444"/>
      <c r="H247" s="396"/>
      <c r="I247" s="15"/>
    </row>
    <row r="248" spans="1:9" ht="12.75" customHeight="1">
      <c r="A248" s="395"/>
      <c r="B248" s="396"/>
      <c r="C248" s="397"/>
      <c r="D248" s="398"/>
      <c r="E248" s="399"/>
      <c r="F248" s="400"/>
      <c r="G248" s="444"/>
      <c r="H248" s="396"/>
      <c r="I248" s="15"/>
    </row>
    <row r="249" spans="1:9" ht="12.75" customHeight="1">
      <c r="A249" s="395"/>
      <c r="B249" s="396"/>
      <c r="C249" s="397"/>
      <c r="D249" s="398"/>
      <c r="E249" s="399"/>
      <c r="F249" s="400"/>
      <c r="G249" s="444"/>
      <c r="H249" s="396"/>
      <c r="I249" s="15"/>
    </row>
    <row r="250" spans="1:9" ht="12.75" customHeight="1">
      <c r="A250" s="395"/>
      <c r="B250" s="396"/>
      <c r="C250" s="397"/>
      <c r="D250" s="398"/>
      <c r="E250" s="399"/>
      <c r="F250" s="400"/>
      <c r="G250" s="444"/>
      <c r="H250" s="396"/>
      <c r="I250" s="15"/>
    </row>
    <row r="251" spans="1:9" ht="12.75" customHeight="1">
      <c r="A251" s="395"/>
      <c r="B251" s="396"/>
      <c r="C251" s="397"/>
      <c r="D251" s="398"/>
      <c r="E251" s="399"/>
      <c r="F251" s="400"/>
      <c r="G251" s="444"/>
      <c r="H251" s="396"/>
      <c r="I251" s="15"/>
    </row>
    <row r="252" spans="1:9" ht="12.75" customHeight="1">
      <c r="A252" s="395"/>
      <c r="B252" s="396"/>
      <c r="C252" s="397"/>
      <c r="D252" s="398"/>
      <c r="E252" s="399"/>
      <c r="F252" s="400"/>
      <c r="G252" s="444"/>
      <c r="H252" s="396"/>
      <c r="I252" s="15"/>
    </row>
    <row r="253" spans="1:9" ht="12.75" customHeight="1">
      <c r="A253" s="395"/>
      <c r="B253" s="396"/>
      <c r="C253" s="397"/>
      <c r="D253" s="398"/>
      <c r="E253" s="399"/>
      <c r="F253" s="400"/>
      <c r="G253" s="444"/>
      <c r="H253" s="396"/>
      <c r="I253" s="15"/>
    </row>
    <row r="254" spans="1:9" ht="12.75" customHeight="1">
      <c r="A254" s="395"/>
      <c r="B254" s="396"/>
      <c r="C254" s="397"/>
      <c r="D254" s="398"/>
      <c r="E254" s="399"/>
      <c r="F254" s="400"/>
      <c r="G254" s="444"/>
      <c r="H254" s="396"/>
      <c r="I254" s="15"/>
    </row>
    <row r="255" spans="1:9" ht="12.75" customHeight="1">
      <c r="A255" s="395"/>
      <c r="B255" s="396"/>
      <c r="C255" s="397"/>
      <c r="D255" s="398"/>
      <c r="E255" s="399"/>
      <c r="F255" s="400"/>
      <c r="G255" s="444"/>
      <c r="H255" s="396"/>
      <c r="I255" s="15"/>
    </row>
    <row r="256" spans="1:9" ht="12.75" customHeight="1">
      <c r="A256" s="395"/>
      <c r="B256" s="396"/>
      <c r="C256" s="397"/>
      <c r="D256" s="398"/>
      <c r="E256" s="399"/>
      <c r="F256" s="400"/>
      <c r="G256" s="444"/>
      <c r="H256" s="396"/>
      <c r="I256" s="15"/>
    </row>
    <row r="257" spans="1:9" ht="12.75" customHeight="1">
      <c r="A257" s="395"/>
      <c r="B257" s="396"/>
      <c r="C257" s="397"/>
      <c r="D257" s="398"/>
      <c r="E257" s="399"/>
      <c r="F257" s="400"/>
      <c r="G257" s="444"/>
      <c r="H257" s="396"/>
      <c r="I257" s="15"/>
    </row>
    <row r="258" spans="1:9" ht="12.75" customHeight="1">
      <c r="A258" s="395"/>
      <c r="B258" s="396"/>
      <c r="C258" s="397"/>
      <c r="D258" s="398"/>
      <c r="E258" s="397"/>
      <c r="F258" s="400"/>
      <c r="G258" s="444"/>
      <c r="H258" s="396"/>
      <c r="I258" s="15"/>
    </row>
    <row r="259" spans="1:9" ht="12.75" customHeight="1">
      <c r="A259" s="395"/>
      <c r="B259" s="406"/>
      <c r="C259" s="397"/>
      <c r="D259" s="398"/>
      <c r="E259" s="399"/>
      <c r="F259" s="400"/>
      <c r="G259" s="444"/>
      <c r="H259" s="396"/>
      <c r="I259" s="15"/>
    </row>
    <row r="260" spans="1:9" ht="12.75" customHeight="1">
      <c r="A260" s="395"/>
      <c r="B260" s="406"/>
      <c r="C260" s="407"/>
      <c r="D260" s="408"/>
      <c r="E260" s="409"/>
      <c r="F260" s="394"/>
      <c r="G260" s="444"/>
      <c r="H260" s="396"/>
      <c r="I260" s="15"/>
    </row>
    <row r="261" spans="1:9" ht="12.75" customHeight="1">
      <c r="A261" s="395"/>
      <c r="B261" s="406"/>
      <c r="C261" s="407"/>
      <c r="D261" s="408"/>
      <c r="E261" s="409"/>
      <c r="F261" s="394"/>
      <c r="G261" s="444"/>
      <c r="H261" s="396"/>
      <c r="I261" s="15"/>
    </row>
    <row r="262" spans="1:9" ht="12.75" customHeight="1">
      <c r="A262" s="405"/>
      <c r="B262" s="406"/>
      <c r="C262" s="407"/>
      <c r="D262" s="408"/>
      <c r="E262" s="409"/>
      <c r="F262" s="394"/>
      <c r="G262" s="444"/>
      <c r="H262" s="396"/>
      <c r="I262" s="15"/>
    </row>
    <row r="263" spans="1:9" ht="12.75" customHeight="1">
      <c r="A263" s="405"/>
      <c r="B263" s="406"/>
      <c r="C263" s="407"/>
      <c r="D263" s="408"/>
      <c r="E263" s="409"/>
      <c r="F263" s="394"/>
      <c r="G263" s="444"/>
      <c r="H263" s="396"/>
      <c r="I263" s="15"/>
    </row>
    <row r="264" spans="1:9" ht="12.75" customHeight="1">
      <c r="A264" s="395"/>
      <c r="B264" s="396"/>
      <c r="C264" s="397"/>
      <c r="D264" s="398"/>
      <c r="E264" s="399"/>
      <c r="F264" s="400"/>
      <c r="G264" s="444"/>
      <c r="H264" s="396"/>
      <c r="I264" s="15"/>
    </row>
    <row r="265" spans="1:9" ht="12.75" customHeight="1">
      <c r="A265" s="395"/>
      <c r="B265" s="396"/>
      <c r="C265" s="397"/>
      <c r="D265" s="398"/>
      <c r="E265" s="399"/>
      <c r="F265" s="400"/>
      <c r="G265" s="444"/>
      <c r="H265" s="396"/>
      <c r="I265" s="15"/>
    </row>
    <row r="266" spans="1:9" ht="12.75" customHeight="1">
      <c r="A266" s="395"/>
      <c r="B266" s="406"/>
      <c r="C266" s="397"/>
      <c r="D266" s="398"/>
      <c r="E266" s="409"/>
      <c r="F266" s="394"/>
      <c r="G266" s="444"/>
      <c r="H266" s="396"/>
      <c r="I266" s="15"/>
    </row>
    <row r="267" spans="1:9" ht="12.75" customHeight="1">
      <c r="A267" s="395"/>
      <c r="B267" s="406"/>
      <c r="C267" s="407"/>
      <c r="D267" s="408"/>
      <c r="E267" s="409"/>
      <c r="F267" s="394"/>
      <c r="G267" s="444"/>
      <c r="H267" s="396"/>
      <c r="I267" s="15"/>
    </row>
    <row r="268" spans="1:9" ht="12.75" customHeight="1">
      <c r="A268" s="405"/>
      <c r="B268" s="396"/>
      <c r="C268" s="401"/>
      <c r="D268" s="402"/>
      <c r="E268" s="403"/>
      <c r="F268" s="404"/>
      <c r="G268" s="444"/>
      <c r="H268" s="396"/>
      <c r="I268" s="15"/>
    </row>
    <row r="269" spans="1:9" ht="12.75" customHeight="1">
      <c r="A269" s="405"/>
      <c r="B269" s="406"/>
      <c r="C269" s="407"/>
      <c r="D269" s="408"/>
      <c r="E269" s="409"/>
      <c r="F269" s="394"/>
      <c r="G269" s="444"/>
      <c r="H269" s="396"/>
      <c r="I269" s="15"/>
    </row>
    <row r="270" spans="1:9" ht="12.75" customHeight="1">
      <c r="A270" s="395"/>
      <c r="B270" s="406"/>
      <c r="C270" s="397"/>
      <c r="D270" s="398"/>
      <c r="E270" s="399"/>
      <c r="F270" s="400"/>
      <c r="G270" s="444"/>
      <c r="H270" s="399"/>
      <c r="I270" s="15"/>
    </row>
    <row r="271" spans="1:9" ht="12.75" customHeight="1">
      <c r="A271" s="395"/>
      <c r="B271" s="441"/>
      <c r="C271" s="399"/>
      <c r="D271" s="400"/>
      <c r="E271" s="403"/>
      <c r="F271" s="404"/>
      <c r="G271" s="414"/>
      <c r="H271" s="399"/>
      <c r="I271" s="15"/>
    </row>
    <row r="272" spans="1:9" ht="12.75" customHeight="1">
      <c r="A272" s="395"/>
      <c r="B272" s="441"/>
      <c r="C272" s="409"/>
      <c r="D272" s="394"/>
      <c r="E272" s="409"/>
      <c r="F272" s="394"/>
      <c r="G272" s="414"/>
      <c r="H272" s="399"/>
      <c r="I272" s="15"/>
    </row>
    <row r="273" spans="1:9" ht="12.75" customHeight="1">
      <c r="A273" s="405"/>
      <c r="B273" s="441"/>
      <c r="C273" s="409"/>
      <c r="D273" s="394"/>
      <c r="E273" s="451"/>
      <c r="F273" s="425"/>
      <c r="G273" s="396"/>
      <c r="H273" s="414"/>
      <c r="I273" s="15"/>
    </row>
    <row r="274" spans="1:9" ht="12.75" customHeight="1">
      <c r="A274" s="405"/>
      <c r="B274" s="441"/>
      <c r="C274" s="409"/>
      <c r="D274" s="394"/>
      <c r="E274" s="424"/>
      <c r="F274" s="425"/>
      <c r="G274" s="414"/>
      <c r="H274" s="399"/>
      <c r="I274" s="15"/>
    </row>
    <row r="275" spans="1:9" ht="12.75" customHeight="1">
      <c r="A275" s="454"/>
      <c r="B275" s="481"/>
      <c r="C275" s="482"/>
      <c r="D275" s="483"/>
      <c r="E275" s="484"/>
      <c r="F275" s="485"/>
      <c r="G275" s="445"/>
      <c r="H275" s="442"/>
      <c r="I275" s="15"/>
    </row>
    <row r="276" spans="1:9" ht="12.75" customHeight="1">
      <c r="A276" s="454"/>
      <c r="B276" s="443"/>
      <c r="C276" s="482"/>
      <c r="D276" s="483"/>
      <c r="E276" s="452"/>
      <c r="F276" s="453"/>
      <c r="G276" s="446"/>
      <c r="H276" s="447"/>
      <c r="I276" s="15"/>
    </row>
    <row r="277" spans="1:9" ht="12.75" customHeight="1">
      <c r="A277" s="395"/>
      <c r="B277" s="442"/>
      <c r="C277" s="403"/>
      <c r="D277" s="404"/>
      <c r="E277" s="486"/>
      <c r="F277" s="471"/>
      <c r="G277" s="56"/>
      <c r="H277" s="448"/>
      <c r="I277" s="15"/>
    </row>
    <row r="278" spans="1:9" ht="12.75" customHeight="1">
      <c r="A278" s="434"/>
      <c r="B278" s="455"/>
      <c r="C278" s="456"/>
      <c r="D278" s="457"/>
      <c r="E278" s="455"/>
      <c r="F278" s="487"/>
      <c r="G278" s="457"/>
      <c r="H278" s="458"/>
      <c r="I278" s="15"/>
    </row>
    <row r="279" spans="1:9" ht="12.75" customHeight="1">
      <c r="A279" s="434"/>
      <c r="B279" s="462"/>
      <c r="C279" s="492"/>
      <c r="D279" s="460"/>
      <c r="E279" s="493"/>
      <c r="F279" s="461"/>
      <c r="G279" s="449"/>
      <c r="H279" s="450"/>
      <c r="I279" s="15"/>
    </row>
    <row r="280" spans="1:9" ht="12.75" customHeight="1">
      <c r="A280" s="395"/>
      <c r="B280" s="494"/>
      <c r="C280" s="473"/>
      <c r="D280" s="495"/>
      <c r="E280" s="494"/>
      <c r="F280" s="473"/>
      <c r="G280" s="496"/>
      <c r="H280" s="497"/>
      <c r="I280" s="15"/>
    </row>
    <row r="281" spans="1:9" ht="12.75" customHeight="1">
      <c r="A281" s="395"/>
      <c r="B281" s="488"/>
      <c r="C281" s="489"/>
      <c r="D281" s="490"/>
      <c r="E281" s="419"/>
      <c r="F281" s="415"/>
      <c r="G281" s="444"/>
      <c r="H281" s="491"/>
      <c r="I281" s="15"/>
    </row>
    <row r="282" spans="1:9" ht="12.75" customHeight="1">
      <c r="A282" s="395"/>
      <c r="B282" s="406"/>
      <c r="C282" s="463"/>
      <c r="D282" s="408"/>
      <c r="E282" s="409"/>
      <c r="F282" s="424"/>
      <c r="G282" s="459"/>
      <c r="H282" s="472"/>
      <c r="I282" s="15"/>
    </row>
    <row r="283" spans="1:9" ht="12.75" customHeight="1">
      <c r="A283" s="395"/>
      <c r="B283" s="406"/>
      <c r="C283" s="463"/>
      <c r="D283" s="408"/>
      <c r="E283" s="409"/>
      <c r="F283" s="424"/>
      <c r="G283" s="459"/>
      <c r="H283" s="472"/>
      <c r="I283" s="15"/>
    </row>
    <row r="284" spans="1:9" ht="12.75" customHeight="1">
      <c r="A284" s="395"/>
      <c r="B284" s="396"/>
      <c r="C284" s="397"/>
      <c r="D284" s="398"/>
      <c r="E284" s="399"/>
      <c r="F284" s="400"/>
      <c r="G284" s="382"/>
      <c r="H284" s="380"/>
      <c r="I284" s="15"/>
    </row>
    <row r="285" spans="1:9" ht="12.75" customHeight="1">
      <c r="A285" s="395"/>
      <c r="B285" s="396"/>
      <c r="C285" s="397"/>
      <c r="D285" s="398"/>
      <c r="E285" s="399"/>
      <c r="F285" s="400"/>
      <c r="G285" s="382"/>
      <c r="H285" s="380"/>
      <c r="I285" s="15"/>
    </row>
    <row r="286" spans="1:9" ht="12.75" customHeight="1">
      <c r="A286" s="395"/>
      <c r="B286" s="396"/>
      <c r="C286" s="397"/>
      <c r="D286" s="398"/>
      <c r="E286" s="399"/>
      <c r="F286" s="400"/>
      <c r="G286" s="382"/>
      <c r="H286" s="380"/>
      <c r="I286" s="15"/>
    </row>
    <row r="287" spans="1:9" ht="12.75" customHeight="1">
      <c r="A287" s="395"/>
      <c r="B287" s="396"/>
      <c r="C287" s="397"/>
      <c r="D287" s="398"/>
      <c r="E287" s="399"/>
      <c r="F287" s="400"/>
      <c r="G287" s="382"/>
      <c r="H287" s="380"/>
      <c r="I287" s="15"/>
    </row>
    <row r="288" spans="1:9" ht="12.75" customHeight="1">
      <c r="A288" s="395"/>
      <c r="B288" s="396"/>
      <c r="C288" s="397"/>
      <c r="D288" s="398"/>
      <c r="E288" s="399"/>
      <c r="F288" s="400"/>
      <c r="G288" s="382"/>
      <c r="H288" s="380"/>
      <c r="I288" s="15"/>
    </row>
    <row r="289" spans="1:9" ht="12.75" customHeight="1">
      <c r="A289" s="395"/>
      <c r="B289" s="396"/>
      <c r="C289" s="397"/>
      <c r="D289" s="398"/>
      <c r="E289" s="399"/>
      <c r="F289" s="400"/>
      <c r="G289" s="382"/>
      <c r="H289" s="380"/>
      <c r="I289" s="15"/>
    </row>
    <row r="290" spans="1:9" ht="12.75" customHeight="1">
      <c r="A290" s="395"/>
      <c r="B290" s="396"/>
      <c r="C290" s="397"/>
      <c r="D290" s="398"/>
      <c r="E290" s="399"/>
      <c r="F290" s="400"/>
      <c r="G290" s="382"/>
      <c r="H290" s="380"/>
      <c r="I290" s="15"/>
    </row>
    <row r="291" spans="1:9" ht="12.75" customHeight="1">
      <c r="A291" s="395"/>
      <c r="B291" s="396"/>
      <c r="C291" s="397"/>
      <c r="D291" s="398"/>
      <c r="E291" s="399"/>
      <c r="F291" s="400"/>
      <c r="G291" s="382"/>
      <c r="H291" s="380"/>
      <c r="I291" s="15"/>
    </row>
    <row r="292" spans="1:9" ht="12.75" customHeight="1">
      <c r="A292" s="395"/>
      <c r="B292" s="396"/>
      <c r="C292" s="397"/>
      <c r="D292" s="398"/>
      <c r="E292" s="399"/>
      <c r="F292" s="400"/>
      <c r="G292" s="382"/>
      <c r="H292" s="380"/>
      <c r="I292" s="15"/>
    </row>
    <row r="293" spans="1:9" ht="12.75" customHeight="1">
      <c r="A293" s="395"/>
      <c r="B293" s="396"/>
      <c r="C293" s="397"/>
      <c r="D293" s="398"/>
      <c r="E293" s="399"/>
      <c r="F293" s="400"/>
      <c r="G293" s="382"/>
      <c r="H293" s="380"/>
      <c r="I293" s="15"/>
    </row>
    <row r="294" spans="1:9" ht="12.75" customHeight="1">
      <c r="A294" s="395"/>
      <c r="B294" s="396"/>
      <c r="C294" s="397"/>
      <c r="D294" s="398"/>
      <c r="E294" s="399"/>
      <c r="F294" s="400"/>
      <c r="G294" s="382"/>
      <c r="H294" s="380"/>
      <c r="I294" s="15"/>
    </row>
    <row r="295" spans="1:9" ht="12.75" customHeight="1">
      <c r="A295" s="395"/>
      <c r="B295" s="396"/>
      <c r="C295" s="397"/>
      <c r="D295" s="398"/>
      <c r="E295" s="399"/>
      <c r="F295" s="400"/>
      <c r="G295" s="382"/>
      <c r="H295" s="380"/>
      <c r="I295" s="15"/>
    </row>
    <row r="296" spans="1:9" ht="12.75" customHeight="1">
      <c r="A296" s="395"/>
      <c r="B296" s="396"/>
      <c r="C296" s="397"/>
      <c r="D296" s="398"/>
      <c r="E296" s="399"/>
      <c r="F296" s="400"/>
      <c r="G296" s="382"/>
      <c r="H296" s="380"/>
      <c r="I296" s="15"/>
    </row>
    <row r="297" spans="1:9" ht="12.75" customHeight="1">
      <c r="A297" s="395"/>
      <c r="B297" s="396"/>
      <c r="C297" s="397"/>
      <c r="D297" s="398"/>
      <c r="E297" s="399"/>
      <c r="F297" s="400"/>
      <c r="G297" s="382"/>
      <c r="H297" s="380"/>
      <c r="I297" s="15"/>
    </row>
    <row r="298" spans="1:9" ht="12.75" customHeight="1">
      <c r="A298" s="395"/>
      <c r="B298" s="396"/>
      <c r="C298" s="397"/>
      <c r="D298" s="398"/>
      <c r="E298" s="399"/>
      <c r="F298" s="400"/>
      <c r="G298" s="382"/>
      <c r="H298" s="380"/>
      <c r="I298" s="15"/>
    </row>
    <row r="299" spans="1:9" ht="12.75" customHeight="1">
      <c r="A299" s="395"/>
      <c r="B299" s="396"/>
      <c r="C299" s="397"/>
      <c r="D299" s="398"/>
      <c r="E299" s="399"/>
      <c r="F299" s="400"/>
      <c r="G299" s="382"/>
      <c r="H299" s="380"/>
      <c r="I299" s="15"/>
    </row>
    <row r="300" spans="1:9" ht="12.75" customHeight="1">
      <c r="A300" s="395"/>
      <c r="B300" s="396"/>
      <c r="C300" s="397"/>
      <c r="D300" s="398"/>
      <c r="E300" s="399"/>
      <c r="F300" s="400"/>
      <c r="G300" s="382"/>
      <c r="H300" s="380"/>
      <c r="I300" s="15"/>
    </row>
    <row r="301" spans="1:9" ht="12.75" customHeight="1">
      <c r="A301" s="395"/>
      <c r="B301" s="396"/>
      <c r="C301" s="397"/>
      <c r="D301" s="398"/>
      <c r="E301" s="399"/>
      <c r="F301" s="400"/>
      <c r="G301" s="382"/>
      <c r="H301" s="380"/>
      <c r="I301" s="15"/>
    </row>
    <row r="302" spans="1:9" ht="12.75" customHeight="1">
      <c r="A302" s="395"/>
      <c r="B302" s="396"/>
      <c r="C302" s="397"/>
      <c r="D302" s="398"/>
      <c r="E302" s="399"/>
      <c r="F302" s="400"/>
      <c r="G302" s="382"/>
      <c r="H302" s="380"/>
      <c r="I302" s="15"/>
    </row>
    <row r="303" spans="1:9" ht="12.75" customHeight="1">
      <c r="A303" s="395"/>
      <c r="B303" s="396"/>
      <c r="C303" s="397"/>
      <c r="D303" s="398"/>
      <c r="E303" s="399"/>
      <c r="F303" s="400"/>
      <c r="G303" s="382"/>
      <c r="H303" s="380"/>
      <c r="I303" s="15"/>
    </row>
    <row r="304" spans="1:9" ht="12.75" customHeight="1">
      <c r="A304" s="395"/>
      <c r="B304" s="396"/>
      <c r="C304" s="397"/>
      <c r="D304" s="398"/>
      <c r="E304" s="399"/>
      <c r="F304" s="400"/>
      <c r="G304" s="382"/>
      <c r="H304" s="380"/>
      <c r="I304" s="15"/>
    </row>
    <row r="305" spans="1:9" ht="12.75" customHeight="1">
      <c r="A305" s="395"/>
      <c r="B305" s="396"/>
      <c r="C305" s="397"/>
      <c r="D305" s="398"/>
      <c r="E305" s="399"/>
      <c r="F305" s="400"/>
      <c r="G305" s="382"/>
      <c r="H305" s="380"/>
      <c r="I305" s="15"/>
    </row>
    <row r="306" spans="1:9" ht="12.75" customHeight="1">
      <c r="A306" s="395"/>
      <c r="B306" s="396"/>
      <c r="C306" s="397"/>
      <c r="D306" s="398"/>
      <c r="E306" s="399"/>
      <c r="F306" s="400"/>
      <c r="G306" s="382"/>
      <c r="H306" s="380"/>
      <c r="I306" s="15"/>
    </row>
    <row r="307" spans="1:9" ht="12.75" customHeight="1">
      <c r="A307" s="395"/>
      <c r="B307" s="396"/>
      <c r="C307" s="397"/>
      <c r="D307" s="398"/>
      <c r="E307" s="399"/>
      <c r="F307" s="400"/>
      <c r="G307" s="382"/>
      <c r="H307" s="380"/>
      <c r="I307" s="15"/>
    </row>
    <row r="308" spans="1:9" ht="12.75" customHeight="1">
      <c r="A308" s="395"/>
      <c r="B308" s="396"/>
      <c r="C308" s="397"/>
      <c r="D308" s="398"/>
      <c r="E308" s="399"/>
      <c r="F308" s="400"/>
      <c r="G308" s="382"/>
      <c r="H308" s="380"/>
      <c r="I308" s="15"/>
    </row>
    <row r="309" spans="1:9" ht="12.75" customHeight="1">
      <c r="A309" s="395"/>
      <c r="B309" s="396"/>
      <c r="C309" s="397"/>
      <c r="D309" s="398"/>
      <c r="E309" s="399"/>
      <c r="F309" s="400"/>
      <c r="G309" s="382"/>
      <c r="H309" s="380"/>
      <c r="I309" s="15"/>
    </row>
    <row r="310" spans="1:9" ht="12.75" customHeight="1">
      <c r="A310" s="395"/>
      <c r="B310" s="396"/>
      <c r="C310" s="397"/>
      <c r="D310" s="398"/>
      <c r="E310" s="399"/>
      <c r="F310" s="400"/>
      <c r="G310" s="382"/>
      <c r="H310" s="380"/>
      <c r="I310" s="15"/>
    </row>
    <row r="311" spans="1:9" ht="12.75" customHeight="1">
      <c r="A311" s="395"/>
      <c r="B311" s="396"/>
      <c r="C311" s="397"/>
      <c r="D311" s="398"/>
      <c r="E311" s="399"/>
      <c r="F311" s="400"/>
      <c r="G311" s="382"/>
      <c r="H311" s="380"/>
      <c r="I311" s="15"/>
    </row>
    <row r="312" spans="1:9" ht="12.75" customHeight="1">
      <c r="A312" s="395"/>
      <c r="B312" s="396"/>
      <c r="C312" s="397"/>
      <c r="D312" s="398"/>
      <c r="E312" s="399"/>
      <c r="F312" s="400"/>
      <c r="G312" s="382"/>
      <c r="H312" s="380"/>
      <c r="I312" s="15"/>
    </row>
    <row r="313" spans="1:9" ht="12.75" customHeight="1">
      <c r="A313" s="395"/>
      <c r="B313" s="396"/>
      <c r="C313" s="397"/>
      <c r="D313" s="398"/>
      <c r="E313" s="399"/>
      <c r="F313" s="400"/>
      <c r="G313" s="382"/>
      <c r="H313" s="380"/>
      <c r="I313" s="15"/>
    </row>
    <row r="314" spans="1:9" ht="12.75" customHeight="1">
      <c r="A314" s="395"/>
      <c r="B314" s="396"/>
      <c r="C314" s="397"/>
      <c r="D314" s="398"/>
      <c r="E314" s="399"/>
      <c r="F314" s="400"/>
      <c r="G314" s="382"/>
      <c r="H314" s="380"/>
      <c r="I314" s="15"/>
    </row>
    <row r="315" spans="1:9" ht="12.75" customHeight="1">
      <c r="A315" s="395"/>
      <c r="B315" s="396"/>
      <c r="C315" s="397"/>
      <c r="D315" s="398"/>
      <c r="E315" s="399"/>
      <c r="F315" s="400"/>
      <c r="G315" s="382"/>
      <c r="H315" s="380"/>
      <c r="I315" s="15"/>
    </row>
    <row r="316" spans="1:9" ht="12.75" customHeight="1">
      <c r="A316" s="395"/>
      <c r="B316" s="396"/>
      <c r="C316" s="397"/>
      <c r="D316" s="398"/>
      <c r="E316" s="399"/>
      <c r="F316" s="400"/>
      <c r="G316" s="382"/>
      <c r="H316" s="380"/>
      <c r="I316" s="15"/>
    </row>
    <row r="317" spans="1:9" ht="12.75" customHeight="1">
      <c r="A317" s="395"/>
      <c r="B317" s="396"/>
      <c r="C317" s="397"/>
      <c r="D317" s="398"/>
      <c r="E317" s="399"/>
      <c r="F317" s="400"/>
      <c r="G317" s="382"/>
      <c r="H317" s="380"/>
      <c r="I317" s="15"/>
    </row>
    <row r="318" spans="1:9" ht="12.75" customHeight="1">
      <c r="A318" s="395"/>
      <c r="B318" s="396"/>
      <c r="C318" s="397"/>
      <c r="D318" s="398"/>
      <c r="E318" s="399"/>
      <c r="F318" s="400"/>
      <c r="G318" s="382"/>
      <c r="H318" s="380"/>
      <c r="I318" s="15"/>
    </row>
    <row r="319" spans="1:9" ht="12.75" customHeight="1">
      <c r="A319" s="395"/>
      <c r="B319" s="396"/>
      <c r="C319" s="397"/>
      <c r="D319" s="398"/>
      <c r="E319" s="399"/>
      <c r="F319" s="400"/>
      <c r="G319" s="382"/>
      <c r="H319" s="380"/>
      <c r="I319" s="15"/>
    </row>
    <row r="320" spans="1:9" ht="12.75" customHeight="1">
      <c r="A320" s="395"/>
      <c r="B320" s="396"/>
      <c r="C320" s="401"/>
      <c r="D320" s="402"/>
      <c r="E320" s="403"/>
      <c r="F320" s="404"/>
      <c r="G320" s="382"/>
      <c r="H320" s="380"/>
      <c r="I320" s="15"/>
    </row>
    <row r="321" spans="1:9" ht="12.75" customHeight="1">
      <c r="A321" s="395"/>
      <c r="B321" s="396"/>
      <c r="C321" s="401"/>
      <c r="D321" s="402"/>
      <c r="E321" s="401"/>
      <c r="F321" s="404"/>
      <c r="G321" s="382"/>
      <c r="H321" s="380"/>
      <c r="I321" s="15"/>
    </row>
    <row r="322" spans="1:9" ht="12.75" customHeight="1">
      <c r="A322" s="405"/>
      <c r="B322" s="406"/>
      <c r="C322" s="407"/>
      <c r="D322" s="408"/>
      <c r="E322" s="409"/>
      <c r="F322" s="394"/>
      <c r="G322" s="382"/>
      <c r="H322" s="380"/>
      <c r="I322" s="15"/>
    </row>
    <row r="323" spans="1:9" ht="12.75" customHeight="1">
      <c r="A323" s="395"/>
      <c r="B323" s="396"/>
      <c r="C323" s="397"/>
      <c r="D323" s="398"/>
      <c r="E323" s="399"/>
      <c r="F323" s="400"/>
      <c r="G323" s="382"/>
      <c r="H323" s="380"/>
      <c r="I323" s="15"/>
    </row>
    <row r="324" spans="1:9" ht="12.75" customHeight="1">
      <c r="A324" s="395"/>
      <c r="B324" s="396"/>
      <c r="C324" s="397"/>
      <c r="D324" s="398"/>
      <c r="E324" s="399"/>
      <c r="F324" s="400"/>
      <c r="G324" s="382"/>
      <c r="H324" s="380"/>
      <c r="I324" s="15"/>
    </row>
    <row r="325" spans="1:9" ht="12.75" customHeight="1">
      <c r="A325" s="395"/>
      <c r="B325" s="396"/>
      <c r="C325" s="397"/>
      <c r="D325" s="398"/>
      <c r="E325" s="403"/>
      <c r="F325" s="404"/>
      <c r="G325" s="382"/>
      <c r="H325" s="380"/>
      <c r="I325" s="15"/>
    </row>
    <row r="326" spans="1:9" ht="12.75" customHeight="1">
      <c r="A326" s="395"/>
      <c r="B326" s="396"/>
      <c r="C326" s="401"/>
      <c r="D326" s="402"/>
      <c r="E326" s="403"/>
      <c r="F326" s="404"/>
      <c r="G326" s="382"/>
      <c r="H326" s="380"/>
      <c r="I326" s="15"/>
    </row>
    <row r="327" spans="1:9" ht="12.75" customHeight="1">
      <c r="A327" s="395"/>
      <c r="B327" s="396"/>
      <c r="C327" s="401"/>
      <c r="D327" s="402"/>
      <c r="E327" s="403"/>
      <c r="F327" s="404"/>
      <c r="G327" s="382"/>
      <c r="H327" s="380"/>
      <c r="I327" s="15"/>
    </row>
    <row r="328" spans="1:9" ht="12.75" customHeight="1">
      <c r="A328" s="395"/>
      <c r="B328" s="396"/>
      <c r="C328" s="407"/>
      <c r="D328" s="408"/>
      <c r="E328" s="409"/>
      <c r="F328" s="394"/>
      <c r="G328" s="382"/>
      <c r="H328" s="380"/>
      <c r="I328" s="15"/>
    </row>
    <row r="329" spans="1:9" ht="12.75" customHeight="1">
      <c r="A329" s="395"/>
      <c r="B329" s="396"/>
      <c r="C329" s="397"/>
      <c r="D329" s="398"/>
      <c r="E329" s="399"/>
      <c r="F329" s="400"/>
      <c r="G329" s="382"/>
      <c r="H329" s="380"/>
      <c r="I329" s="15"/>
    </row>
    <row r="330" spans="1:9" ht="12.75" customHeight="1">
      <c r="A330" s="395"/>
      <c r="B330" s="396"/>
      <c r="C330" s="397"/>
      <c r="D330" s="398"/>
      <c r="E330" s="403"/>
      <c r="F330" s="404"/>
      <c r="G330" s="382"/>
      <c r="H330" s="380"/>
      <c r="I330" s="15"/>
    </row>
    <row r="331" spans="1:9" ht="12.75" customHeight="1">
      <c r="A331" s="395"/>
      <c r="B331" s="396"/>
      <c r="C331" s="401"/>
      <c r="D331" s="402"/>
      <c r="E331" s="403"/>
      <c r="F331" s="404"/>
      <c r="G331" s="382"/>
      <c r="H331" s="380"/>
      <c r="I331" s="15"/>
    </row>
    <row r="332" spans="1:9" ht="12.75" customHeight="1">
      <c r="A332" s="395"/>
      <c r="B332" s="396"/>
      <c r="C332" s="401"/>
      <c r="D332" s="402"/>
      <c r="E332" s="410"/>
      <c r="F332" s="411"/>
      <c r="G332" s="382"/>
      <c r="H332" s="380"/>
      <c r="I332" s="15"/>
    </row>
    <row r="333" spans="1:9" ht="12.75" customHeight="1">
      <c r="A333" s="405"/>
      <c r="B333" s="406"/>
      <c r="C333" s="407"/>
      <c r="D333" s="408"/>
      <c r="E333" s="409"/>
      <c r="F333" s="394"/>
      <c r="G333" s="412"/>
      <c r="H333" s="413"/>
      <c r="I333" s="15"/>
    </row>
    <row r="334" spans="1:9" ht="12.75" customHeight="1">
      <c r="A334" s="395"/>
      <c r="B334" s="414"/>
      <c r="C334" s="399"/>
      <c r="D334" s="400"/>
      <c r="E334" s="415"/>
      <c r="F334" s="416"/>
      <c r="G334" s="417"/>
      <c r="H334" s="413"/>
      <c r="I334" s="15"/>
    </row>
    <row r="335" spans="1:9" ht="12.75" customHeight="1">
      <c r="A335" s="395"/>
      <c r="B335" s="414"/>
      <c r="C335" s="399"/>
      <c r="D335" s="400"/>
      <c r="E335" s="410"/>
      <c r="F335" s="411"/>
      <c r="G335" s="417"/>
      <c r="H335" s="413"/>
      <c r="I335" s="15"/>
    </row>
    <row r="336" spans="1:9" ht="12.75" customHeight="1">
      <c r="A336" s="395"/>
      <c r="B336" s="414"/>
      <c r="C336" s="403"/>
      <c r="D336" s="404"/>
      <c r="E336" s="418"/>
      <c r="F336" s="404"/>
      <c r="G336" s="41"/>
      <c r="H336" s="414"/>
      <c r="I336" s="15"/>
    </row>
    <row r="337" spans="1:9" ht="12.75" customHeight="1">
      <c r="A337" s="395"/>
      <c r="B337" s="414"/>
      <c r="C337" s="403"/>
      <c r="D337" s="404"/>
      <c r="E337" s="410"/>
      <c r="F337" s="404"/>
      <c r="G337" s="417"/>
      <c r="H337" s="413"/>
      <c r="I337" s="15"/>
    </row>
    <row r="338" spans="1:9" ht="12.75" customHeight="1">
      <c r="A338" s="395"/>
      <c r="B338" s="419"/>
      <c r="C338" s="410"/>
      <c r="D338" s="416"/>
      <c r="E338" s="420"/>
      <c r="F338" s="415"/>
      <c r="G338" s="421"/>
      <c r="H338" s="422"/>
      <c r="I338" s="15"/>
    </row>
    <row r="339" spans="1:9" ht="12.75" customHeight="1">
      <c r="A339" s="405"/>
      <c r="B339" s="423"/>
      <c r="C339" s="424"/>
      <c r="D339" s="425"/>
      <c r="E339" s="423"/>
      <c r="F339" s="424"/>
      <c r="G339" s="426"/>
      <c r="H339" s="427"/>
      <c r="I339" s="15"/>
    </row>
    <row r="340" spans="1:9" ht="12.75" customHeight="1">
      <c r="A340" s="389"/>
      <c r="B340" s="428"/>
      <c r="C340" s="429"/>
      <c r="D340" s="416"/>
      <c r="E340" s="430"/>
      <c r="F340" s="431"/>
      <c r="G340" s="432"/>
      <c r="H340" s="433"/>
      <c r="I340" s="434"/>
    </row>
    <row r="341" spans="1:9" ht="12.75" customHeight="1">
      <c r="A341" s="435"/>
      <c r="B341" s="436"/>
      <c r="C341" s="437"/>
      <c r="D341" s="438"/>
      <c r="E341" s="437"/>
      <c r="F341" s="438"/>
      <c r="G341" s="438"/>
      <c r="H341" s="439"/>
      <c r="I341" s="440"/>
    </row>
    <row r="342" spans="1:9" ht="12.75" customHeight="1">
      <c r="A342" s="435"/>
      <c r="B342" s="436"/>
      <c r="C342" s="437"/>
      <c r="D342" s="438"/>
      <c r="E342" s="437"/>
      <c r="F342" s="438"/>
      <c r="G342" s="438"/>
      <c r="H342" s="439"/>
      <c r="I342" s="440"/>
    </row>
    <row r="343" ht="12.75" customHeight="1">
      <c r="I343" s="377"/>
    </row>
    <row r="344" ht="12.75" customHeight="1">
      <c r="I344" s="377"/>
    </row>
  </sheetData>
  <sheetProtection/>
  <mergeCells count="1">
    <mergeCell ref="C7:D7"/>
  </mergeCells>
  <printOptions/>
  <pageMargins left="0.67" right="0.2" top="0.25" bottom="0.25" header="0.34" footer="0.3"/>
  <pageSetup horizontalDpi="600" verticalDpi="600" orientation="portrait" paperSize="5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4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6.7109375" style="4" customWidth="1"/>
    <col min="2" max="2" width="7.57421875" style="4" customWidth="1"/>
    <col min="3" max="3" width="12.57421875" style="6" customWidth="1"/>
    <col min="4" max="4" width="12.7109375" style="5" customWidth="1"/>
    <col min="5" max="5" width="15.00390625" style="6" customWidth="1"/>
    <col min="6" max="6" width="14.421875" style="5" customWidth="1"/>
    <col min="7" max="7" width="9.8515625" style="5" customWidth="1"/>
    <col min="8" max="8" width="9.57421875" style="5" customWidth="1"/>
    <col min="9" max="9" width="9.28125" style="3" customWidth="1"/>
    <col min="10" max="10" width="21.28125" style="378" bestFit="1" customWidth="1"/>
    <col min="11" max="16384" width="9.140625" style="378" customWidth="1"/>
  </cols>
  <sheetData>
    <row r="1" spans="1:9" ht="12.75" customHeight="1">
      <c r="A1" s="380"/>
      <c r="B1" s="380"/>
      <c r="C1" s="381" t="s">
        <v>3</v>
      </c>
      <c r="D1" s="382"/>
      <c r="E1" s="383"/>
      <c r="F1" s="384"/>
      <c r="G1" s="382"/>
      <c r="H1" s="380"/>
      <c r="I1" s="15"/>
    </row>
    <row r="2" spans="1:9" ht="12.75" customHeight="1">
      <c r="A2" s="380"/>
      <c r="B2" s="380"/>
      <c r="C2" s="381" t="s">
        <v>4</v>
      </c>
      <c r="D2" s="385"/>
      <c r="E2" s="381"/>
      <c r="F2" s="384"/>
      <c r="G2" s="382"/>
      <c r="H2" s="380"/>
      <c r="I2" s="15"/>
    </row>
    <row r="3" spans="1:9" ht="12.75" customHeight="1">
      <c r="A3" s="380"/>
      <c r="B3" s="380"/>
      <c r="C3" s="381" t="s">
        <v>33</v>
      </c>
      <c r="D3" s="385"/>
      <c r="E3" s="381"/>
      <c r="F3" s="384"/>
      <c r="G3" s="382"/>
      <c r="H3" s="380"/>
      <c r="I3" s="15"/>
    </row>
    <row r="4" spans="1:9" ht="12.75" customHeight="1">
      <c r="A4" s="386"/>
      <c r="B4" s="380"/>
      <c r="C4" s="381" t="s">
        <v>31</v>
      </c>
      <c r="D4" s="385"/>
      <c r="E4" s="381"/>
      <c r="F4" s="384"/>
      <c r="G4" s="387"/>
      <c r="H4" s="380"/>
      <c r="I4" s="15"/>
    </row>
    <row r="5" spans="1:9" ht="12.75" customHeight="1">
      <c r="A5" s="380"/>
      <c r="B5" s="386"/>
      <c r="C5" s="388"/>
      <c r="D5" s="387"/>
      <c r="E5" s="383" t="s">
        <v>1691</v>
      </c>
      <c r="F5" s="384"/>
      <c r="G5" s="387"/>
      <c r="H5" s="380"/>
      <c r="I5" s="15"/>
    </row>
    <row r="6" spans="1:9" ht="12.75" customHeight="1">
      <c r="A6" s="389" t="s">
        <v>39</v>
      </c>
      <c r="B6" s="386"/>
      <c r="C6" s="388"/>
      <c r="D6" s="387"/>
      <c r="E6" s="388"/>
      <c r="F6" s="384"/>
      <c r="G6" s="387"/>
      <c r="H6" s="380"/>
      <c r="I6" s="15"/>
    </row>
    <row r="7" spans="1:9" ht="12.75" customHeight="1">
      <c r="A7" s="390" t="s">
        <v>312</v>
      </c>
      <c r="B7" s="390"/>
      <c r="C7" s="856" t="s">
        <v>1692</v>
      </c>
      <c r="D7" s="856"/>
      <c r="E7" s="553" t="s">
        <v>1693</v>
      </c>
      <c r="F7" s="384"/>
      <c r="G7" s="382"/>
      <c r="H7" s="380"/>
      <c r="I7" s="15"/>
    </row>
    <row r="8" spans="1:9" ht="12.75" customHeight="1">
      <c r="A8" s="392" t="s">
        <v>243</v>
      </c>
      <c r="B8" s="380"/>
      <c r="C8" s="393" t="s">
        <v>0</v>
      </c>
      <c r="D8" s="394" t="s">
        <v>1</v>
      </c>
      <c r="E8" s="393" t="s">
        <v>0</v>
      </c>
      <c r="F8" s="394" t="s">
        <v>1</v>
      </c>
      <c r="G8" s="382"/>
      <c r="H8" s="380"/>
      <c r="I8" s="15"/>
    </row>
    <row r="9" spans="1:9" ht="12.75" customHeight="1">
      <c r="A9" s="389" t="s">
        <v>1348</v>
      </c>
      <c r="B9" s="380"/>
      <c r="C9" s="413">
        <v>0</v>
      </c>
      <c r="D9" s="400">
        <v>0</v>
      </c>
      <c r="E9" s="413">
        <v>2991.7</v>
      </c>
      <c r="F9" s="400">
        <v>77.01403884079286</v>
      </c>
      <c r="G9" s="382"/>
      <c r="H9" s="380"/>
      <c r="I9" s="15"/>
    </row>
    <row r="10" spans="1:9" ht="12.75" customHeight="1">
      <c r="A10" s="389" t="s">
        <v>1207</v>
      </c>
      <c r="B10" s="380"/>
      <c r="C10" s="413">
        <v>0</v>
      </c>
      <c r="D10" s="400">
        <v>0</v>
      </c>
      <c r="E10" s="413">
        <v>33423.3</v>
      </c>
      <c r="F10" s="400">
        <v>101.98627903289022</v>
      </c>
      <c r="G10" s="382"/>
      <c r="H10" s="380"/>
      <c r="I10" s="15"/>
    </row>
    <row r="11" spans="1:9" ht="12.75" customHeight="1">
      <c r="A11" s="389" t="s">
        <v>277</v>
      </c>
      <c r="B11" s="380"/>
      <c r="C11" s="413">
        <v>7239.6</v>
      </c>
      <c r="D11" s="400">
        <v>109.30945079838664</v>
      </c>
      <c r="E11" s="413">
        <v>94088.19999999998</v>
      </c>
      <c r="F11" s="400">
        <v>120.92681335172742</v>
      </c>
      <c r="G11" s="382"/>
      <c r="H11" s="380"/>
      <c r="I11" s="15"/>
    </row>
    <row r="12" spans="1:9" ht="12.75" customHeight="1">
      <c r="A12" s="389" t="s">
        <v>279</v>
      </c>
      <c r="B12" s="380"/>
      <c r="C12" s="413">
        <v>0</v>
      </c>
      <c r="D12" s="400">
        <v>0</v>
      </c>
      <c r="E12" s="413">
        <v>2991</v>
      </c>
      <c r="F12" s="400">
        <v>240.16666666666666</v>
      </c>
      <c r="G12" s="382"/>
      <c r="H12" s="380"/>
      <c r="I12" s="15"/>
    </row>
    <row r="13" spans="1:9" ht="12.75" customHeight="1">
      <c r="A13" s="389" t="s">
        <v>278</v>
      </c>
      <c r="B13" s="380"/>
      <c r="C13" s="413">
        <v>0</v>
      </c>
      <c r="D13" s="400">
        <v>0</v>
      </c>
      <c r="E13" s="413">
        <v>136236.3</v>
      </c>
      <c r="F13" s="400">
        <v>182.6823717320568</v>
      </c>
      <c r="G13" s="382"/>
      <c r="H13" s="380"/>
      <c r="I13" s="15"/>
    </row>
    <row r="14" spans="1:9" ht="12.75" customHeight="1">
      <c r="A14" s="389" t="s">
        <v>1208</v>
      </c>
      <c r="B14" s="380"/>
      <c r="C14" s="413">
        <v>0</v>
      </c>
      <c r="D14" s="400">
        <v>0</v>
      </c>
      <c r="E14" s="413">
        <v>56810.2</v>
      </c>
      <c r="F14" s="400">
        <v>179.79687274468318</v>
      </c>
      <c r="G14" s="382"/>
      <c r="H14" s="380"/>
      <c r="I14" s="15"/>
    </row>
    <row r="15" spans="1:9" ht="12.75" customHeight="1">
      <c r="A15" s="389" t="s">
        <v>1349</v>
      </c>
      <c r="B15" s="380"/>
      <c r="C15" s="413">
        <v>5971</v>
      </c>
      <c r="D15" s="400">
        <v>144.9828839390387</v>
      </c>
      <c r="E15" s="413">
        <v>8953</v>
      </c>
      <c r="F15" s="400">
        <v>152.20516028146992</v>
      </c>
      <c r="G15" s="382"/>
      <c r="H15" s="380"/>
      <c r="I15" s="15"/>
    </row>
    <row r="16" spans="1:9" ht="12.75" customHeight="1">
      <c r="A16" s="389" t="s">
        <v>280</v>
      </c>
      <c r="B16" s="380"/>
      <c r="C16" s="413">
        <v>21438.2</v>
      </c>
      <c r="D16" s="400">
        <v>106.30400406750566</v>
      </c>
      <c r="E16" s="413">
        <v>387304.50000000006</v>
      </c>
      <c r="F16" s="400">
        <v>146.2505568615908</v>
      </c>
      <c r="G16" s="382"/>
      <c r="H16" s="380"/>
      <c r="I16" s="15"/>
    </row>
    <row r="17" spans="1:9" ht="12.75" customHeight="1">
      <c r="A17" s="389" t="s">
        <v>281</v>
      </c>
      <c r="B17" s="380"/>
      <c r="C17" s="413">
        <v>0</v>
      </c>
      <c r="D17" s="400">
        <v>0</v>
      </c>
      <c r="E17" s="413">
        <v>108539.89999999998</v>
      </c>
      <c r="F17" s="400">
        <v>112.63542439232027</v>
      </c>
      <c r="G17" s="382"/>
      <c r="H17" s="380"/>
      <c r="I17" s="15"/>
    </row>
    <row r="18" spans="1:9" ht="12.75" customHeight="1">
      <c r="A18" s="389" t="s">
        <v>1209</v>
      </c>
      <c r="B18" s="380"/>
      <c r="C18" s="413">
        <v>0</v>
      </c>
      <c r="D18" s="400">
        <v>0</v>
      </c>
      <c r="E18" s="413">
        <v>4234.9</v>
      </c>
      <c r="F18" s="400">
        <v>88.83397482821319</v>
      </c>
      <c r="G18" s="382"/>
      <c r="H18" s="380"/>
      <c r="I18" s="15"/>
    </row>
    <row r="19" spans="1:9" ht="12.75" customHeight="1">
      <c r="A19" s="389" t="s">
        <v>1210</v>
      </c>
      <c r="B19" s="380"/>
      <c r="C19" s="413">
        <v>0</v>
      </c>
      <c r="D19" s="400">
        <v>0</v>
      </c>
      <c r="E19" s="413">
        <v>11966.1</v>
      </c>
      <c r="F19" s="400">
        <v>100</v>
      </c>
      <c r="G19" s="382"/>
      <c r="H19" s="380"/>
      <c r="I19" s="15"/>
    </row>
    <row r="20" spans="1:9" ht="12.75" customHeight="1">
      <c r="A20" s="389" t="s">
        <v>1211</v>
      </c>
      <c r="B20" s="380"/>
      <c r="C20" s="413">
        <v>3492</v>
      </c>
      <c r="D20" s="400">
        <v>163.28253150057273</v>
      </c>
      <c r="E20" s="413">
        <v>43921.4</v>
      </c>
      <c r="F20" s="400">
        <v>187.81288164767062</v>
      </c>
      <c r="G20" s="382"/>
      <c r="H20" s="380"/>
      <c r="I20" s="15"/>
    </row>
    <row r="21" spans="1:9" ht="12.75" customHeight="1">
      <c r="A21" s="389" t="s">
        <v>1212</v>
      </c>
      <c r="B21" s="380"/>
      <c r="C21" s="413">
        <v>2489.5</v>
      </c>
      <c r="D21" s="400">
        <v>107.39686684073106</v>
      </c>
      <c r="E21" s="413">
        <v>52826.29999999999</v>
      </c>
      <c r="F21" s="400">
        <v>153.83063549784865</v>
      </c>
      <c r="G21" s="382"/>
      <c r="H21" s="380"/>
      <c r="I21" s="15"/>
    </row>
    <row r="22" spans="1:9" ht="12.75" customHeight="1">
      <c r="A22" s="389" t="s">
        <v>282</v>
      </c>
      <c r="B22" s="380"/>
      <c r="C22" s="413">
        <v>14920.6</v>
      </c>
      <c r="D22" s="400">
        <v>116.63492084768708</v>
      </c>
      <c r="E22" s="413">
        <v>118790.69999999998</v>
      </c>
      <c r="F22" s="400">
        <v>157.80143395063757</v>
      </c>
      <c r="G22" s="382"/>
      <c r="H22" s="380"/>
      <c r="I22" s="15"/>
    </row>
    <row r="23" spans="1:9" ht="12.75" customHeight="1">
      <c r="A23" s="389" t="s">
        <v>283</v>
      </c>
      <c r="B23" s="380"/>
      <c r="C23" s="413">
        <v>5474.9</v>
      </c>
      <c r="D23" s="400">
        <v>229.15176532904712</v>
      </c>
      <c r="E23" s="413">
        <v>608138.1000000002</v>
      </c>
      <c r="F23" s="400">
        <v>255.48412737172686</v>
      </c>
      <c r="G23" s="382"/>
      <c r="H23" s="380"/>
      <c r="I23" s="15"/>
    </row>
    <row r="24" spans="1:9" ht="12.75" customHeight="1">
      <c r="A24" s="389" t="s">
        <v>284</v>
      </c>
      <c r="B24" s="380"/>
      <c r="C24" s="413">
        <v>0</v>
      </c>
      <c r="D24" s="400">
        <v>0</v>
      </c>
      <c r="E24" s="413">
        <v>45787.2</v>
      </c>
      <c r="F24" s="400">
        <v>104.3166954956844</v>
      </c>
      <c r="G24" s="382"/>
      <c r="H24" s="380"/>
      <c r="I24" s="15"/>
    </row>
    <row r="25" spans="1:9" ht="12.75" customHeight="1">
      <c r="A25" s="389" t="s">
        <v>285</v>
      </c>
      <c r="B25" s="380"/>
      <c r="C25" s="413">
        <v>8963.4</v>
      </c>
      <c r="D25" s="400">
        <v>102.44957270678537</v>
      </c>
      <c r="E25" s="413">
        <v>129525.09999999998</v>
      </c>
      <c r="F25" s="400">
        <v>155.28868690315625</v>
      </c>
      <c r="G25" s="382"/>
      <c r="H25" s="380"/>
      <c r="I25" s="15"/>
    </row>
    <row r="26" spans="1:9" ht="12.75" customHeight="1">
      <c r="A26" s="389" t="s">
        <v>1213</v>
      </c>
      <c r="B26" s="380"/>
      <c r="C26" s="413">
        <v>985</v>
      </c>
      <c r="D26" s="400">
        <v>65</v>
      </c>
      <c r="E26" s="413">
        <v>26885.8</v>
      </c>
      <c r="F26" s="400">
        <v>124.80598308400717</v>
      </c>
      <c r="G26" s="382"/>
      <c r="H26" s="380"/>
      <c r="I26" s="15"/>
    </row>
    <row r="27" spans="1:9" ht="12.75" customHeight="1">
      <c r="A27" s="389" t="s">
        <v>286</v>
      </c>
      <c r="B27" s="380"/>
      <c r="C27" s="413">
        <v>8784.6</v>
      </c>
      <c r="D27" s="400">
        <v>58.752669444254714</v>
      </c>
      <c r="E27" s="413">
        <v>292638.4</v>
      </c>
      <c r="F27" s="400">
        <v>192.17460114598768</v>
      </c>
      <c r="G27" s="382"/>
      <c r="H27" s="380"/>
      <c r="I27" s="15"/>
    </row>
    <row r="28" spans="1:9" ht="12.75" customHeight="1">
      <c r="A28" s="389" t="s">
        <v>1214</v>
      </c>
      <c r="B28" s="380"/>
      <c r="C28" s="413">
        <v>0</v>
      </c>
      <c r="D28" s="400">
        <v>0</v>
      </c>
      <c r="E28" s="413">
        <v>12462.5</v>
      </c>
      <c r="F28" s="400">
        <v>193.64</v>
      </c>
      <c r="G28" s="382"/>
      <c r="H28" s="380"/>
      <c r="I28" s="15"/>
    </row>
    <row r="29" spans="1:9" ht="12.75" customHeight="1">
      <c r="A29" s="389" t="s">
        <v>287</v>
      </c>
      <c r="B29" s="380"/>
      <c r="C29" s="413">
        <v>40763.6</v>
      </c>
      <c r="D29" s="400">
        <v>100.01531758725922</v>
      </c>
      <c r="E29" s="413">
        <v>260611.8</v>
      </c>
      <c r="F29" s="400">
        <v>147.83576031476704</v>
      </c>
      <c r="G29" s="382"/>
      <c r="H29" s="380"/>
      <c r="I29" s="15"/>
    </row>
    <row r="30" spans="1:9" ht="12.75" customHeight="1">
      <c r="A30" s="389" t="s">
        <v>288</v>
      </c>
      <c r="B30" s="380"/>
      <c r="C30" s="413">
        <v>41901.4</v>
      </c>
      <c r="D30" s="400">
        <v>98.58786818578854</v>
      </c>
      <c r="E30" s="413">
        <v>588308.4</v>
      </c>
      <c r="F30" s="400">
        <v>158.58559490226554</v>
      </c>
      <c r="G30" s="382"/>
      <c r="H30" s="380"/>
      <c r="I30" s="15"/>
    </row>
    <row r="31" spans="1:9" ht="12.75" customHeight="1">
      <c r="A31" s="389" t="s">
        <v>1215</v>
      </c>
      <c r="B31" s="380"/>
      <c r="C31" s="413">
        <v>0</v>
      </c>
      <c r="D31" s="400">
        <v>0</v>
      </c>
      <c r="E31" s="413">
        <v>12483.4</v>
      </c>
      <c r="F31" s="400">
        <v>128.42010990595512</v>
      </c>
      <c r="G31" s="382"/>
      <c r="H31" s="380"/>
      <c r="I31" s="15"/>
    </row>
    <row r="32" spans="1:9" ht="12.75" customHeight="1">
      <c r="A32" s="389" t="s">
        <v>289</v>
      </c>
      <c r="B32" s="380"/>
      <c r="C32" s="413">
        <v>0</v>
      </c>
      <c r="D32" s="400">
        <v>0</v>
      </c>
      <c r="E32" s="413">
        <v>550219.2999999999</v>
      </c>
      <c r="F32" s="400">
        <v>209.70643868726526</v>
      </c>
      <c r="G32" s="382"/>
      <c r="H32" s="380"/>
      <c r="I32" s="15"/>
    </row>
    <row r="33" spans="1:9" ht="12.75" customHeight="1">
      <c r="A33" s="389" t="s">
        <v>290</v>
      </c>
      <c r="B33" s="380"/>
      <c r="C33" s="413">
        <v>0</v>
      </c>
      <c r="D33" s="400">
        <v>0</v>
      </c>
      <c r="E33" s="413">
        <v>67210.7</v>
      </c>
      <c r="F33" s="400">
        <v>97.89778413258604</v>
      </c>
      <c r="G33" s="382"/>
      <c r="H33" s="380"/>
      <c r="I33" s="15"/>
    </row>
    <row r="34" spans="1:9" ht="12.75" customHeight="1">
      <c r="A34" s="389" t="s">
        <v>291</v>
      </c>
      <c r="B34" s="380"/>
      <c r="C34" s="413">
        <v>1991</v>
      </c>
      <c r="D34" s="400">
        <v>132.80462079357108</v>
      </c>
      <c r="E34" s="413">
        <v>260502.40000000005</v>
      </c>
      <c r="F34" s="400">
        <v>130.7944187846254</v>
      </c>
      <c r="G34" s="382"/>
      <c r="H34" s="380"/>
      <c r="I34" s="15"/>
    </row>
    <row r="35" spans="1:9" ht="12.75" customHeight="1">
      <c r="A35" s="389" t="s">
        <v>292</v>
      </c>
      <c r="B35" s="380"/>
      <c r="C35" s="413">
        <v>498.5</v>
      </c>
      <c r="D35" s="400">
        <v>130</v>
      </c>
      <c r="E35" s="413">
        <v>149037.79999999996</v>
      </c>
      <c r="F35" s="400">
        <v>195.29814382659976</v>
      </c>
      <c r="G35" s="382"/>
      <c r="H35" s="380"/>
      <c r="I35" s="15"/>
    </row>
    <row r="36" spans="1:9" ht="12.75" customHeight="1">
      <c r="A36" s="389" t="s">
        <v>294</v>
      </c>
      <c r="B36" s="380"/>
      <c r="C36" s="413">
        <v>0</v>
      </c>
      <c r="D36" s="400">
        <v>0</v>
      </c>
      <c r="E36" s="413">
        <v>21114.2</v>
      </c>
      <c r="F36" s="400">
        <v>88.11183942559983</v>
      </c>
      <c r="G36" s="382"/>
      <c r="H36" s="380"/>
      <c r="I36" s="15"/>
    </row>
    <row r="37" spans="1:9" ht="12.75" customHeight="1">
      <c r="A37" s="389" t="s">
        <v>295</v>
      </c>
      <c r="B37" s="380"/>
      <c r="C37" s="413">
        <v>27913</v>
      </c>
      <c r="D37" s="400">
        <v>98.35892953104288</v>
      </c>
      <c r="E37" s="413">
        <v>223455.4</v>
      </c>
      <c r="F37" s="400">
        <v>103.2544096047802</v>
      </c>
      <c r="G37" s="382"/>
      <c r="H37" s="380"/>
      <c r="I37" s="15"/>
    </row>
    <row r="38" spans="1:9" ht="12.75" customHeight="1">
      <c r="A38" s="389" t="s">
        <v>1216</v>
      </c>
      <c r="B38" s="380"/>
      <c r="C38" s="413">
        <v>2983.7</v>
      </c>
      <c r="D38" s="400">
        <v>123.32573650165902</v>
      </c>
      <c r="E38" s="413">
        <v>11959.5</v>
      </c>
      <c r="F38" s="400">
        <v>159.6528366570509</v>
      </c>
      <c r="G38" s="382"/>
      <c r="H38" s="380"/>
      <c r="I38" s="15"/>
    </row>
    <row r="39" spans="1:9" ht="12.75" customHeight="1">
      <c r="A39" s="389" t="s">
        <v>293</v>
      </c>
      <c r="B39" s="380"/>
      <c r="C39" s="413">
        <v>994.5</v>
      </c>
      <c r="D39" s="400">
        <v>92.50377073906486</v>
      </c>
      <c r="E39" s="413">
        <v>235443.30000000002</v>
      </c>
      <c r="F39" s="400">
        <v>162.07655983415114</v>
      </c>
      <c r="G39" s="382"/>
      <c r="H39" s="380"/>
      <c r="I39" s="15"/>
    </row>
    <row r="40" spans="1:9" ht="12.75" customHeight="1">
      <c r="A40" s="389" t="s">
        <v>1217</v>
      </c>
      <c r="B40" s="380"/>
      <c r="C40" s="413">
        <v>0</v>
      </c>
      <c r="D40" s="400">
        <v>0</v>
      </c>
      <c r="E40" s="413">
        <v>36357.3</v>
      </c>
      <c r="F40" s="400">
        <v>189.60530072365108</v>
      </c>
      <c r="G40" s="382"/>
      <c r="H40" s="380"/>
      <c r="I40" s="15"/>
    </row>
    <row r="41" spans="1:9" ht="12.75" customHeight="1">
      <c r="A41" s="389" t="s">
        <v>1218</v>
      </c>
      <c r="B41" s="380"/>
      <c r="C41" s="413">
        <v>0</v>
      </c>
      <c r="D41" s="400">
        <v>0</v>
      </c>
      <c r="E41" s="413">
        <v>43403.200000000004</v>
      </c>
      <c r="F41" s="400">
        <v>158.64379124119878</v>
      </c>
      <c r="G41" s="382"/>
      <c r="H41" s="380"/>
      <c r="I41" s="15"/>
    </row>
    <row r="42" spans="1:9" ht="12.75" customHeight="1">
      <c r="A42" s="389" t="s">
        <v>296</v>
      </c>
      <c r="B42" s="380"/>
      <c r="C42" s="413">
        <v>20927.3</v>
      </c>
      <c r="D42" s="400">
        <v>83.03952253754666</v>
      </c>
      <c r="E42" s="413">
        <v>222911.60000000003</v>
      </c>
      <c r="F42" s="400">
        <v>130.99281508903076</v>
      </c>
      <c r="G42" s="382"/>
      <c r="H42" s="380"/>
      <c r="I42" s="15"/>
    </row>
    <row r="43" spans="1:9" ht="12.75" customHeight="1">
      <c r="A43" s="389" t="s">
        <v>297</v>
      </c>
      <c r="B43" s="380"/>
      <c r="C43" s="413">
        <v>0</v>
      </c>
      <c r="D43" s="400">
        <v>0</v>
      </c>
      <c r="E43" s="413">
        <v>98436.59999999999</v>
      </c>
      <c r="F43" s="400">
        <v>105.04619115247783</v>
      </c>
      <c r="G43" s="382"/>
      <c r="H43" s="380"/>
      <c r="I43" s="15"/>
    </row>
    <row r="44" spans="1:9" ht="12.75" customHeight="1">
      <c r="A44" s="389" t="s">
        <v>313</v>
      </c>
      <c r="B44" s="380"/>
      <c r="C44" s="413">
        <v>9720.7</v>
      </c>
      <c r="D44" s="400">
        <v>81.33308300842532</v>
      </c>
      <c r="E44" s="413">
        <v>95151.9</v>
      </c>
      <c r="F44" s="400">
        <v>148.66992881907774</v>
      </c>
      <c r="G44" s="382"/>
      <c r="H44" s="380"/>
      <c r="I44" s="15"/>
    </row>
    <row r="45" spans="1:9" ht="12.75" customHeight="1">
      <c r="A45" s="389" t="s">
        <v>298</v>
      </c>
      <c r="B45" s="380"/>
      <c r="C45" s="413">
        <v>23203.3</v>
      </c>
      <c r="D45" s="400">
        <v>107.52843776531788</v>
      </c>
      <c r="E45" s="413">
        <v>647503.9</v>
      </c>
      <c r="F45" s="400">
        <v>157.4924787325605</v>
      </c>
      <c r="G45" s="382"/>
      <c r="H45" s="380"/>
      <c r="I45" s="15"/>
    </row>
    <row r="46" spans="1:9" ht="12.75" customHeight="1">
      <c r="A46" s="389" t="s">
        <v>1219</v>
      </c>
      <c r="B46" s="380"/>
      <c r="C46" s="413">
        <v>10976</v>
      </c>
      <c r="D46" s="400">
        <v>172.91875911078716</v>
      </c>
      <c r="E46" s="413">
        <v>102316.09999999999</v>
      </c>
      <c r="F46" s="400">
        <v>184.8683354819036</v>
      </c>
      <c r="G46" s="382"/>
      <c r="H46" s="380"/>
      <c r="I46" s="15"/>
    </row>
    <row r="47" spans="1:9" ht="12.75" customHeight="1">
      <c r="A47" s="389" t="s">
        <v>299</v>
      </c>
      <c r="B47" s="380"/>
      <c r="C47" s="413">
        <v>0</v>
      </c>
      <c r="D47" s="400">
        <v>0</v>
      </c>
      <c r="E47" s="413">
        <v>80739.99999999999</v>
      </c>
      <c r="F47" s="400">
        <v>114.11559326232353</v>
      </c>
      <c r="G47" s="382"/>
      <c r="H47" s="380"/>
      <c r="I47" s="15"/>
    </row>
    <row r="48" spans="1:9" ht="12.75" customHeight="1">
      <c r="A48" s="389" t="s">
        <v>1220</v>
      </c>
      <c r="B48" s="380"/>
      <c r="C48" s="413">
        <v>0</v>
      </c>
      <c r="D48" s="400">
        <v>0</v>
      </c>
      <c r="E48" s="413">
        <v>17966.1</v>
      </c>
      <c r="F48" s="400">
        <v>108.66740694975537</v>
      </c>
      <c r="G48" s="382"/>
      <c r="H48" s="380"/>
      <c r="I48" s="15"/>
    </row>
    <row r="49" spans="1:9" ht="12.75" customHeight="1">
      <c r="A49" s="389" t="s">
        <v>300</v>
      </c>
      <c r="B49" s="380"/>
      <c r="C49" s="413">
        <v>0</v>
      </c>
      <c r="D49" s="400">
        <v>0</v>
      </c>
      <c r="E49" s="413">
        <v>99051.2</v>
      </c>
      <c r="F49" s="400">
        <v>112.1195048621319</v>
      </c>
      <c r="G49" s="382"/>
      <c r="H49" s="380"/>
      <c r="I49" s="15"/>
    </row>
    <row r="50" spans="1:9" ht="12.75" customHeight="1">
      <c r="A50" s="389" t="s">
        <v>301</v>
      </c>
      <c r="B50" s="380"/>
      <c r="C50" s="413">
        <v>30870.6</v>
      </c>
      <c r="D50" s="400">
        <v>150.30794995886052</v>
      </c>
      <c r="E50" s="413">
        <v>992044.2</v>
      </c>
      <c r="F50" s="400">
        <v>188.7411398605022</v>
      </c>
      <c r="G50" s="382"/>
      <c r="H50" s="380"/>
      <c r="I50" s="15"/>
    </row>
    <row r="51" spans="1:9" ht="12.75" customHeight="1">
      <c r="A51" s="389" t="s">
        <v>302</v>
      </c>
      <c r="B51" s="380"/>
      <c r="C51" s="413">
        <v>9447</v>
      </c>
      <c r="D51" s="400">
        <v>103.10389541653434</v>
      </c>
      <c r="E51" s="413">
        <v>228840.40000000005</v>
      </c>
      <c r="F51" s="400">
        <v>106.51162600659671</v>
      </c>
      <c r="G51" s="382"/>
      <c r="H51" s="380"/>
      <c r="I51" s="15"/>
    </row>
    <row r="52" spans="1:9" ht="12.75" customHeight="1">
      <c r="A52" s="389" t="s">
        <v>303</v>
      </c>
      <c r="B52" s="380"/>
      <c r="C52" s="413">
        <v>0</v>
      </c>
      <c r="D52" s="400">
        <v>0</v>
      </c>
      <c r="E52" s="413">
        <v>193431.7</v>
      </c>
      <c r="F52" s="400">
        <v>125.55463039408743</v>
      </c>
      <c r="G52" s="382"/>
      <c r="H52" s="380"/>
      <c r="I52" s="15"/>
    </row>
    <row r="53" spans="1:9" ht="12.75" customHeight="1">
      <c r="A53" s="389" t="s">
        <v>314</v>
      </c>
      <c r="B53" s="380"/>
      <c r="C53" s="413">
        <v>497.6</v>
      </c>
      <c r="D53" s="400">
        <v>68</v>
      </c>
      <c r="E53" s="413">
        <v>75052.3</v>
      </c>
      <c r="F53" s="400">
        <v>152.0650293195545</v>
      </c>
      <c r="G53" s="382"/>
      <c r="H53" s="380"/>
      <c r="I53" s="15"/>
    </row>
    <row r="54" spans="1:9" ht="12.75" customHeight="1">
      <c r="A54" s="389" t="s">
        <v>1221</v>
      </c>
      <c r="B54" s="380"/>
      <c r="C54" s="501">
        <v>0</v>
      </c>
      <c r="D54" s="404">
        <v>0</v>
      </c>
      <c r="E54" s="501">
        <v>12413.2</v>
      </c>
      <c r="F54" s="404">
        <v>97.331026649051</v>
      </c>
      <c r="G54" s="382"/>
      <c r="H54" s="380"/>
      <c r="I54" s="15"/>
    </row>
    <row r="55" spans="1:9" ht="12.75" customHeight="1">
      <c r="A55" s="389" t="s">
        <v>304</v>
      </c>
      <c r="B55" s="380"/>
      <c r="C55" s="501">
        <v>302446.99999999994</v>
      </c>
      <c r="D55" s="404">
        <v>111.023787638826</v>
      </c>
      <c r="E55" s="501">
        <v>7504480.499999999</v>
      </c>
      <c r="F55" s="404">
        <v>165.6014496673021</v>
      </c>
      <c r="G55" s="382"/>
      <c r="H55" s="380"/>
      <c r="I55" s="15"/>
    </row>
    <row r="56" spans="1:9" ht="12.75" customHeight="1">
      <c r="A56" s="392" t="s">
        <v>36</v>
      </c>
      <c r="B56" s="390"/>
      <c r="C56" s="393"/>
      <c r="D56" s="394"/>
      <c r="E56" s="393"/>
      <c r="F56" s="394"/>
      <c r="G56" s="382"/>
      <c r="H56" s="380"/>
      <c r="I56" s="15"/>
    </row>
    <row r="57" spans="1:9" ht="12.75" customHeight="1">
      <c r="A57" s="392" t="s">
        <v>1222</v>
      </c>
      <c r="B57" s="390"/>
      <c r="C57" s="393" t="s">
        <v>0</v>
      </c>
      <c r="D57" s="394" t="s">
        <v>1</v>
      </c>
      <c r="E57" s="393" t="s">
        <v>0</v>
      </c>
      <c r="F57" s="394" t="s">
        <v>1</v>
      </c>
      <c r="G57" s="382"/>
      <c r="H57" s="380"/>
      <c r="I57" s="15"/>
    </row>
    <row r="58" spans="1:9" ht="12.75" customHeight="1">
      <c r="A58" s="389" t="s">
        <v>1223</v>
      </c>
      <c r="B58" s="380"/>
      <c r="C58" s="413">
        <v>0</v>
      </c>
      <c r="D58" s="400">
        <v>0</v>
      </c>
      <c r="E58" s="413">
        <v>10979.6</v>
      </c>
      <c r="F58" s="400">
        <v>122.77976429013806</v>
      </c>
      <c r="G58" s="382"/>
      <c r="H58" s="380"/>
      <c r="I58" s="15"/>
    </row>
    <row r="59" spans="1:9" ht="12.75" customHeight="1">
      <c r="A59" s="389" t="s">
        <v>1224</v>
      </c>
      <c r="B59" s="380"/>
      <c r="C59" s="413">
        <v>498.5</v>
      </c>
      <c r="D59" s="400">
        <v>85</v>
      </c>
      <c r="E59" s="413">
        <v>15855.1</v>
      </c>
      <c r="F59" s="400">
        <v>128.87099419114355</v>
      </c>
      <c r="G59" s="382"/>
      <c r="H59" s="380"/>
      <c r="I59" s="15"/>
    </row>
    <row r="60" spans="1:9" ht="12.75" customHeight="1">
      <c r="A60" s="389" t="s">
        <v>1225</v>
      </c>
      <c r="B60" s="380"/>
      <c r="C60" s="413">
        <v>991</v>
      </c>
      <c r="D60" s="400">
        <v>77.5</v>
      </c>
      <c r="E60" s="501">
        <v>45885.5</v>
      </c>
      <c r="F60" s="404">
        <v>158.12778982467228</v>
      </c>
      <c r="G60" s="382"/>
      <c r="H60" s="380"/>
      <c r="I60" s="15"/>
    </row>
    <row r="61" spans="1:9" ht="12.75" customHeight="1">
      <c r="A61" s="389" t="s">
        <v>304</v>
      </c>
      <c r="B61" s="380"/>
      <c r="C61" s="501">
        <v>1489.5</v>
      </c>
      <c r="D61" s="404">
        <v>80.01007049345418</v>
      </c>
      <c r="E61" s="501">
        <v>72720.2</v>
      </c>
      <c r="F61" s="404">
        <v>146.4119721892954</v>
      </c>
      <c r="G61" s="382"/>
      <c r="H61" s="380"/>
      <c r="I61" s="15"/>
    </row>
    <row r="62" spans="1:9" ht="12.75" customHeight="1">
      <c r="A62" s="389" t="s">
        <v>1226</v>
      </c>
      <c r="B62" s="390"/>
      <c r="C62" s="393">
        <v>303936.49999999994</v>
      </c>
      <c r="D62" s="394">
        <v>110.87179887904219</v>
      </c>
      <c r="E62" s="393">
        <v>7577200.699999999</v>
      </c>
      <c r="F62" s="394">
        <v>165.4172836810301</v>
      </c>
      <c r="G62" s="382"/>
      <c r="H62" s="380"/>
      <c r="I62" s="15"/>
    </row>
    <row r="63" spans="1:9" ht="12.75" customHeight="1">
      <c r="A63" s="392" t="s">
        <v>1227</v>
      </c>
      <c r="B63" s="390"/>
      <c r="C63" s="393" t="s">
        <v>306</v>
      </c>
      <c r="D63" s="394" t="s">
        <v>307</v>
      </c>
      <c r="E63" s="393" t="s">
        <v>306</v>
      </c>
      <c r="F63" s="394" t="s">
        <v>307</v>
      </c>
      <c r="G63" s="382"/>
      <c r="H63" s="380"/>
      <c r="I63" s="15"/>
    </row>
    <row r="64" spans="1:9" ht="12.75" customHeight="1">
      <c r="A64" s="389" t="s">
        <v>287</v>
      </c>
      <c r="B64" s="380"/>
      <c r="C64" s="413">
        <v>29</v>
      </c>
      <c r="D64" s="400">
        <v>750</v>
      </c>
      <c r="E64" s="413">
        <v>330</v>
      </c>
      <c r="F64" s="400">
        <v>1082.7575757575758</v>
      </c>
      <c r="G64" s="382"/>
      <c r="H64" s="380"/>
      <c r="I64" s="15"/>
    </row>
    <row r="65" spans="1:9" ht="12.75" customHeight="1">
      <c r="A65" s="389" t="s">
        <v>1218</v>
      </c>
      <c r="B65" s="380"/>
      <c r="C65" s="501">
        <v>0</v>
      </c>
      <c r="D65" s="404">
        <v>0</v>
      </c>
      <c r="E65" s="501">
        <v>12</v>
      </c>
      <c r="F65" s="404">
        <v>1212.5</v>
      </c>
      <c r="G65" s="382"/>
      <c r="H65" s="380"/>
      <c r="I65" s="15"/>
    </row>
    <row r="66" spans="1:9" ht="12.75" customHeight="1">
      <c r="A66" s="389" t="s">
        <v>304</v>
      </c>
      <c r="B66" s="380"/>
      <c r="C66" s="501">
        <v>29</v>
      </c>
      <c r="D66" s="404">
        <v>750</v>
      </c>
      <c r="E66" s="501">
        <v>342</v>
      </c>
      <c r="F66" s="404">
        <v>1087.3099415204679</v>
      </c>
      <c r="G66" s="382"/>
      <c r="H66" s="380"/>
      <c r="I66" s="15"/>
    </row>
    <row r="67" spans="1:9" ht="12.75" customHeight="1">
      <c r="A67" s="389" t="s">
        <v>1226</v>
      </c>
      <c r="B67" s="390"/>
      <c r="C67" s="393">
        <v>303965.49999999994</v>
      </c>
      <c r="D67" s="394">
        <v>110.93277526561404</v>
      </c>
      <c r="E67" s="393">
        <v>7578041.199999999</v>
      </c>
      <c r="F67" s="394">
        <v>165.45307278086585</v>
      </c>
      <c r="G67" s="382"/>
      <c r="H67" s="380"/>
      <c r="I67" s="15"/>
    </row>
    <row r="68" spans="1:9" ht="12.75" customHeight="1">
      <c r="A68" s="392" t="s">
        <v>1228</v>
      </c>
      <c r="B68" s="390"/>
      <c r="C68" s="393" t="s">
        <v>0</v>
      </c>
      <c r="D68" s="394" t="s">
        <v>1</v>
      </c>
      <c r="E68" s="393" t="s">
        <v>0</v>
      </c>
      <c r="F68" s="394" t="s">
        <v>1</v>
      </c>
      <c r="G68" s="382"/>
      <c r="H68" s="380"/>
      <c r="I68" s="15"/>
    </row>
    <row r="69" spans="1:9" ht="12.75" customHeight="1">
      <c r="A69" s="389" t="s">
        <v>278</v>
      </c>
      <c r="B69" s="380"/>
      <c r="C69" s="413">
        <v>0</v>
      </c>
      <c r="D69" s="400">
        <v>0</v>
      </c>
      <c r="E69" s="413">
        <v>1183</v>
      </c>
      <c r="F69" s="400">
        <v>217.62890955198648</v>
      </c>
      <c r="G69" s="382"/>
      <c r="H69" s="380"/>
      <c r="I69" s="15"/>
    </row>
    <row r="70" spans="1:9" ht="12.75" customHeight="1">
      <c r="A70" s="389" t="s">
        <v>294</v>
      </c>
      <c r="B70" s="380"/>
      <c r="C70" s="501">
        <v>0</v>
      </c>
      <c r="D70" s="404">
        <v>0</v>
      </c>
      <c r="E70" s="501">
        <v>497</v>
      </c>
      <c r="F70" s="404">
        <v>115</v>
      </c>
      <c r="G70" s="382"/>
      <c r="H70" s="380"/>
      <c r="I70" s="15"/>
    </row>
    <row r="71" spans="1:9" ht="12.75" customHeight="1">
      <c r="A71" s="389" t="s">
        <v>304</v>
      </c>
      <c r="B71" s="380"/>
      <c r="C71" s="501">
        <v>0</v>
      </c>
      <c r="D71" s="404">
        <v>0</v>
      </c>
      <c r="E71" s="501">
        <v>1680</v>
      </c>
      <c r="F71" s="404">
        <v>187.26785714285714</v>
      </c>
      <c r="G71" s="382"/>
      <c r="H71" s="380"/>
      <c r="I71" s="15"/>
    </row>
    <row r="72" spans="1:9" ht="18" customHeight="1">
      <c r="A72" s="389" t="s">
        <v>308</v>
      </c>
      <c r="B72" s="380"/>
      <c r="C72" s="501">
        <v>303965.49999999994</v>
      </c>
      <c r="D72" s="404">
        <v>110.93277526561404</v>
      </c>
      <c r="E72" s="681">
        <v>7579222.699999999</v>
      </c>
      <c r="F72" s="404">
        <v>165.4637259438227</v>
      </c>
      <c r="G72" s="382"/>
      <c r="H72" s="501"/>
      <c r="I72" s="15"/>
    </row>
    <row r="73" spans="1:9" ht="12.75" customHeight="1">
      <c r="A73" s="392"/>
      <c r="B73" s="812"/>
      <c r="C73" s="628" t="s">
        <v>1692</v>
      </c>
      <c r="D73" s="408"/>
      <c r="E73" s="682" t="s">
        <v>1693</v>
      </c>
      <c r="F73" s="628"/>
      <c r="G73" s="663"/>
      <c r="H73" s="664"/>
      <c r="I73" s="15"/>
    </row>
    <row r="74" spans="1:9" ht="12.75" customHeight="1">
      <c r="A74" s="392" t="s">
        <v>40</v>
      </c>
      <c r="B74" s="503" t="s">
        <v>41</v>
      </c>
      <c r="C74" s="393" t="s">
        <v>0</v>
      </c>
      <c r="D74" s="394" t="s">
        <v>164</v>
      </c>
      <c r="E74" s="393" t="s">
        <v>41</v>
      </c>
      <c r="F74" s="394" t="s">
        <v>0</v>
      </c>
      <c r="G74" s="679" t="s">
        <v>164</v>
      </c>
      <c r="H74" s="680" t="s">
        <v>2</v>
      </c>
      <c r="I74" s="15"/>
    </row>
    <row r="75" spans="1:9" ht="12.75" customHeight="1">
      <c r="A75" s="389" t="s">
        <v>42</v>
      </c>
      <c r="B75" s="380">
        <v>120</v>
      </c>
      <c r="C75" s="413">
        <v>5982</v>
      </c>
      <c r="D75" s="400">
        <v>82.08634236041458</v>
      </c>
      <c r="E75" s="624">
        <v>525</v>
      </c>
      <c r="F75" s="399">
        <v>26137</v>
      </c>
      <c r="G75" s="382">
        <v>93.22310096797644</v>
      </c>
      <c r="H75" s="665">
        <v>0.0034485066654658405</v>
      </c>
      <c r="I75" s="15"/>
    </row>
    <row r="76" spans="1:9" ht="12.75" customHeight="1">
      <c r="A76" s="389" t="s">
        <v>43</v>
      </c>
      <c r="B76" s="390">
        <v>5982</v>
      </c>
      <c r="C76" s="393">
        <v>297983.5</v>
      </c>
      <c r="D76" s="394">
        <v>111.51186558987327</v>
      </c>
      <c r="E76" s="625">
        <v>151469</v>
      </c>
      <c r="F76" s="409">
        <v>7553085.699999998</v>
      </c>
      <c r="G76" s="502">
        <v>165.71371029326468</v>
      </c>
      <c r="H76" s="666">
        <v>0.9965514933345342</v>
      </c>
      <c r="I76" s="15"/>
    </row>
    <row r="77" spans="1:9" ht="12.75" customHeight="1">
      <c r="A77" s="392" t="s">
        <v>44</v>
      </c>
      <c r="B77" s="390">
        <v>6102</v>
      </c>
      <c r="C77" s="393">
        <v>303965.5</v>
      </c>
      <c r="D77" s="394">
        <v>110.93277526561403</v>
      </c>
      <c r="E77" s="625">
        <v>151994</v>
      </c>
      <c r="F77" s="409">
        <v>7579222.699999998</v>
      </c>
      <c r="G77" s="502">
        <v>165.46372594382277</v>
      </c>
      <c r="H77" s="666">
        <v>1</v>
      </c>
      <c r="I77" s="15"/>
    </row>
    <row r="78" spans="1:9" ht="12.75" customHeight="1">
      <c r="A78" s="392"/>
      <c r="B78" s="380"/>
      <c r="C78" s="393"/>
      <c r="D78" s="394"/>
      <c r="E78" s="393"/>
      <c r="F78" s="394"/>
      <c r="G78" s="382"/>
      <c r="H78" s="380"/>
      <c r="I78" s="15"/>
    </row>
    <row r="79" spans="1:9" ht="12.75" customHeight="1">
      <c r="A79" s="392"/>
      <c r="B79" s="380"/>
      <c r="C79" s="393"/>
      <c r="D79" s="394"/>
      <c r="E79" s="393"/>
      <c r="F79" s="394"/>
      <c r="G79" s="382"/>
      <c r="H79" s="380"/>
      <c r="I79" s="15"/>
    </row>
    <row r="80" spans="1:9" ht="12.75" customHeight="1">
      <c r="A80" s="389"/>
      <c r="B80" s="380"/>
      <c r="C80" s="413"/>
      <c r="D80" s="400"/>
      <c r="E80" s="413"/>
      <c r="F80" s="400"/>
      <c r="G80" s="382"/>
      <c r="H80" s="380"/>
      <c r="I80" s="15"/>
    </row>
    <row r="81" spans="1:9" ht="12.75" customHeight="1">
      <c r="A81" s="389"/>
      <c r="B81" s="380"/>
      <c r="C81" s="413"/>
      <c r="D81" s="400"/>
      <c r="E81" s="413"/>
      <c r="F81" s="400"/>
      <c r="G81" s="382"/>
      <c r="H81" s="380"/>
      <c r="I81" s="15"/>
    </row>
    <row r="82" spans="1:9" ht="12.75" customHeight="1">
      <c r="A82" s="389"/>
      <c r="B82" s="380"/>
      <c r="C82" s="413"/>
      <c r="D82" s="400"/>
      <c r="E82" s="413"/>
      <c r="F82" s="400"/>
      <c r="G82" s="382"/>
      <c r="H82" s="380"/>
      <c r="I82" s="15"/>
    </row>
    <row r="83" spans="1:9" ht="12.75" customHeight="1">
      <c r="A83" s="389"/>
      <c r="B83" s="380"/>
      <c r="C83" s="413"/>
      <c r="D83" s="400"/>
      <c r="E83" s="413"/>
      <c r="F83" s="400"/>
      <c r="G83" s="382"/>
      <c r="H83" s="380"/>
      <c r="I83" s="15"/>
    </row>
    <row r="84" spans="1:9" ht="12.75" customHeight="1">
      <c r="A84" s="389"/>
      <c r="B84" s="380"/>
      <c r="C84" s="413"/>
      <c r="D84" s="400"/>
      <c r="E84" s="413"/>
      <c r="F84" s="400"/>
      <c r="G84" s="382"/>
      <c r="H84" s="380"/>
      <c r="I84" s="15"/>
    </row>
    <row r="85" spans="1:9" ht="12.75" customHeight="1">
      <c r="A85" s="389"/>
      <c r="B85" s="380"/>
      <c r="C85" s="413"/>
      <c r="D85" s="400"/>
      <c r="E85" s="413"/>
      <c r="F85" s="400"/>
      <c r="G85" s="382"/>
      <c r="H85" s="380"/>
      <c r="I85" s="15"/>
    </row>
    <row r="86" spans="1:9" ht="12.75" customHeight="1">
      <c r="A86" s="389"/>
      <c r="B86" s="380"/>
      <c r="C86" s="413"/>
      <c r="D86" s="400"/>
      <c r="E86" s="413"/>
      <c r="F86" s="400"/>
      <c r="G86" s="382"/>
      <c r="H86" s="380"/>
      <c r="I86" s="15"/>
    </row>
    <row r="87" spans="1:9" ht="12.75" customHeight="1">
      <c r="A87" s="389"/>
      <c r="B87" s="380"/>
      <c r="C87" s="413"/>
      <c r="D87" s="400"/>
      <c r="E87" s="413"/>
      <c r="F87" s="400"/>
      <c r="G87" s="382"/>
      <c r="H87" s="380"/>
      <c r="I87" s="15"/>
    </row>
    <row r="88" spans="1:9" ht="12.75" customHeight="1">
      <c r="A88" s="389"/>
      <c r="B88" s="380"/>
      <c r="C88" s="413"/>
      <c r="D88" s="400"/>
      <c r="E88" s="413"/>
      <c r="F88" s="400"/>
      <c r="G88" s="382"/>
      <c r="H88" s="380"/>
      <c r="I88" s="15"/>
    </row>
    <row r="89" spans="1:9" ht="12.75" customHeight="1">
      <c r="A89" s="389"/>
      <c r="B89" s="380"/>
      <c r="C89" s="413"/>
      <c r="D89" s="400"/>
      <c r="E89" s="413"/>
      <c r="F89" s="400"/>
      <c r="G89" s="382"/>
      <c r="H89" s="380"/>
      <c r="I89" s="15"/>
    </row>
    <row r="90" spans="1:9" ht="12.75" customHeight="1">
      <c r="A90" s="389"/>
      <c r="B90" s="380"/>
      <c r="C90" s="413"/>
      <c r="D90" s="400"/>
      <c r="E90" s="413"/>
      <c r="F90" s="400"/>
      <c r="G90" s="382"/>
      <c r="H90" s="380"/>
      <c r="I90" s="15"/>
    </row>
    <row r="91" spans="1:9" ht="12.75" customHeight="1">
      <c r="A91" s="389"/>
      <c r="B91" s="380"/>
      <c r="C91" s="413"/>
      <c r="D91" s="400"/>
      <c r="E91" s="413"/>
      <c r="F91" s="400"/>
      <c r="G91" s="382"/>
      <c r="H91" s="380"/>
      <c r="I91" s="15"/>
    </row>
    <row r="92" spans="1:9" ht="12.75" customHeight="1">
      <c r="A92" s="389"/>
      <c r="B92" s="380"/>
      <c r="C92" s="413"/>
      <c r="D92" s="400"/>
      <c r="E92" s="413"/>
      <c r="F92" s="400"/>
      <c r="G92" s="382"/>
      <c r="H92" s="380"/>
      <c r="I92" s="15"/>
    </row>
    <row r="93" spans="1:9" ht="12.75" customHeight="1">
      <c r="A93" s="389"/>
      <c r="B93" s="380"/>
      <c r="C93" s="413"/>
      <c r="D93" s="400"/>
      <c r="E93" s="413"/>
      <c r="F93" s="400"/>
      <c r="G93" s="382"/>
      <c r="H93" s="380"/>
      <c r="I93" s="15"/>
    </row>
    <row r="94" spans="1:9" ht="12.75" customHeight="1">
      <c r="A94" s="389"/>
      <c r="B94" s="380"/>
      <c r="C94" s="413"/>
      <c r="D94" s="400"/>
      <c r="E94" s="413"/>
      <c r="F94" s="400"/>
      <c r="G94" s="382"/>
      <c r="H94" s="380"/>
      <c r="I94" s="15"/>
    </row>
    <row r="95" spans="1:9" ht="12.75" customHeight="1">
      <c r="A95" s="389"/>
      <c r="B95" s="380"/>
      <c r="C95" s="413"/>
      <c r="D95" s="400"/>
      <c r="E95" s="413"/>
      <c r="F95" s="400"/>
      <c r="G95" s="382"/>
      <c r="H95" s="380"/>
      <c r="I95" s="15"/>
    </row>
    <row r="96" spans="1:9" ht="12.75" customHeight="1">
      <c r="A96" s="389"/>
      <c r="B96" s="380"/>
      <c r="C96" s="413"/>
      <c r="D96" s="400"/>
      <c r="E96" s="413"/>
      <c r="F96" s="400"/>
      <c r="G96" s="382"/>
      <c r="H96" s="380"/>
      <c r="I96" s="15"/>
    </row>
    <row r="97" spans="1:9" ht="12.75" customHeight="1">
      <c r="A97" s="389"/>
      <c r="B97" s="380"/>
      <c r="C97" s="413"/>
      <c r="D97" s="400"/>
      <c r="E97" s="413"/>
      <c r="F97" s="400"/>
      <c r="G97" s="382"/>
      <c r="H97" s="380"/>
      <c r="I97" s="15"/>
    </row>
    <row r="98" spans="1:9" ht="12.75" customHeight="1">
      <c r="A98" s="389"/>
      <c r="B98" s="380"/>
      <c r="C98" s="413"/>
      <c r="D98" s="400"/>
      <c r="E98" s="413"/>
      <c r="F98" s="400"/>
      <c r="G98" s="382"/>
      <c r="H98" s="380"/>
      <c r="I98" s="15"/>
    </row>
    <row r="99" spans="1:9" ht="12.75" customHeight="1">
      <c r="A99" s="389"/>
      <c r="B99" s="380"/>
      <c r="C99" s="413"/>
      <c r="D99" s="400"/>
      <c r="E99" s="413"/>
      <c r="F99" s="400"/>
      <c r="G99" s="382"/>
      <c r="H99" s="380"/>
      <c r="I99" s="15"/>
    </row>
    <row r="100" spans="1:9" ht="12.75" customHeight="1">
      <c r="A100" s="389"/>
      <c r="B100" s="380"/>
      <c r="C100" s="413"/>
      <c r="D100" s="400"/>
      <c r="E100" s="413"/>
      <c r="F100" s="400"/>
      <c r="G100" s="382"/>
      <c r="H100" s="380"/>
      <c r="I100" s="15"/>
    </row>
    <row r="101" spans="1:9" ht="12.75" customHeight="1">
      <c r="A101" s="389"/>
      <c r="B101" s="380"/>
      <c r="C101" s="413"/>
      <c r="D101" s="400"/>
      <c r="E101" s="413"/>
      <c r="F101" s="400"/>
      <c r="G101" s="382"/>
      <c r="H101" s="380"/>
      <c r="I101" s="15"/>
    </row>
    <row r="102" spans="1:9" ht="12.75" customHeight="1">
      <c r="A102" s="389"/>
      <c r="B102" s="380"/>
      <c r="C102" s="413"/>
      <c r="D102" s="400"/>
      <c r="E102" s="413"/>
      <c r="F102" s="400"/>
      <c r="G102" s="382"/>
      <c r="H102" s="380"/>
      <c r="I102" s="15"/>
    </row>
    <row r="103" spans="1:9" ht="12.75" customHeight="1">
      <c r="A103" s="389"/>
      <c r="B103" s="380"/>
      <c r="C103" s="413"/>
      <c r="D103" s="400"/>
      <c r="E103" s="413"/>
      <c r="F103" s="400"/>
      <c r="G103" s="382"/>
      <c r="H103" s="380"/>
      <c r="I103" s="15"/>
    </row>
    <row r="104" spans="1:9" ht="12.75" customHeight="1">
      <c r="A104" s="389"/>
      <c r="B104" s="380"/>
      <c r="C104" s="413"/>
      <c r="D104" s="400"/>
      <c r="E104" s="413"/>
      <c r="F104" s="400"/>
      <c r="G104" s="382"/>
      <c r="H104" s="380"/>
      <c r="I104" s="15"/>
    </row>
    <row r="105" spans="1:9" ht="12.75" customHeight="1">
      <c r="A105" s="389"/>
      <c r="B105" s="380"/>
      <c r="C105" s="413"/>
      <c r="D105" s="400"/>
      <c r="E105" s="413"/>
      <c r="F105" s="400"/>
      <c r="G105" s="382"/>
      <c r="H105" s="380"/>
      <c r="I105" s="15"/>
    </row>
    <row r="106" spans="1:9" ht="12.75" customHeight="1">
      <c r="A106" s="389"/>
      <c r="B106" s="380"/>
      <c r="C106" s="413"/>
      <c r="D106" s="400"/>
      <c r="E106" s="413"/>
      <c r="F106" s="400"/>
      <c r="G106" s="382"/>
      <c r="H106" s="380"/>
      <c r="I106" s="15"/>
    </row>
    <row r="107" spans="1:9" ht="12.75" customHeight="1">
      <c r="A107" s="389"/>
      <c r="B107" s="380"/>
      <c r="C107" s="413"/>
      <c r="D107" s="400"/>
      <c r="E107" s="413"/>
      <c r="F107" s="400"/>
      <c r="G107" s="382"/>
      <c r="H107" s="380"/>
      <c r="I107" s="15"/>
    </row>
    <row r="108" spans="1:9" ht="12.75" customHeight="1">
      <c r="A108" s="389"/>
      <c r="B108" s="380"/>
      <c r="C108" s="413"/>
      <c r="D108" s="400"/>
      <c r="E108" s="413"/>
      <c r="F108" s="400"/>
      <c r="G108" s="382"/>
      <c r="H108" s="380"/>
      <c r="I108" s="15"/>
    </row>
    <row r="109" spans="1:9" ht="12.75" customHeight="1">
      <c r="A109" s="389"/>
      <c r="B109" s="380"/>
      <c r="C109" s="413"/>
      <c r="D109" s="400"/>
      <c r="E109" s="413"/>
      <c r="F109" s="400"/>
      <c r="G109" s="382"/>
      <c r="H109" s="380"/>
      <c r="I109" s="15"/>
    </row>
    <row r="110" spans="1:9" ht="12.75" customHeight="1">
      <c r="A110" s="389"/>
      <c r="B110" s="380"/>
      <c r="C110" s="413"/>
      <c r="D110" s="400"/>
      <c r="E110" s="413"/>
      <c r="F110" s="400"/>
      <c r="G110" s="382"/>
      <c r="H110" s="380"/>
      <c r="I110" s="15"/>
    </row>
    <row r="111" spans="1:9" ht="12.75" customHeight="1">
      <c r="A111" s="389"/>
      <c r="B111" s="380"/>
      <c r="C111" s="413"/>
      <c r="D111" s="400"/>
      <c r="E111" s="413"/>
      <c r="F111" s="400"/>
      <c r="G111" s="382"/>
      <c r="H111" s="380"/>
      <c r="I111" s="15"/>
    </row>
    <row r="112" spans="1:9" ht="12.75" customHeight="1">
      <c r="A112" s="389"/>
      <c r="B112" s="380"/>
      <c r="C112" s="413"/>
      <c r="D112" s="400"/>
      <c r="E112" s="413"/>
      <c r="F112" s="400"/>
      <c r="G112" s="382"/>
      <c r="H112" s="380"/>
      <c r="I112" s="15"/>
    </row>
    <row r="113" spans="1:9" ht="12.75" customHeight="1">
      <c r="A113" s="389"/>
      <c r="B113" s="380"/>
      <c r="C113" s="413"/>
      <c r="D113" s="400"/>
      <c r="E113" s="413"/>
      <c r="F113" s="400"/>
      <c r="G113" s="382"/>
      <c r="H113" s="380"/>
      <c r="I113" s="15"/>
    </row>
    <row r="114" spans="1:9" ht="12.75" customHeight="1">
      <c r="A114" s="389"/>
      <c r="B114" s="380"/>
      <c r="C114" s="413"/>
      <c r="D114" s="400"/>
      <c r="E114" s="413"/>
      <c r="F114" s="400"/>
      <c r="G114" s="382"/>
      <c r="H114" s="380"/>
      <c r="I114" s="15"/>
    </row>
    <row r="115" spans="1:9" ht="12.75" customHeight="1">
      <c r="A115" s="389"/>
      <c r="B115" s="380"/>
      <c r="C115" s="413"/>
      <c r="D115" s="400"/>
      <c r="E115" s="413"/>
      <c r="F115" s="400"/>
      <c r="G115" s="382"/>
      <c r="H115" s="380"/>
      <c r="I115" s="15"/>
    </row>
    <row r="116" spans="1:9" ht="12.75" customHeight="1">
      <c r="A116" s="389"/>
      <c r="B116" s="380"/>
      <c r="C116" s="413"/>
      <c r="D116" s="400"/>
      <c r="E116" s="413"/>
      <c r="F116" s="400"/>
      <c r="G116" s="382"/>
      <c r="H116" s="380"/>
      <c r="I116" s="15"/>
    </row>
    <row r="117" spans="1:9" ht="12.75" customHeight="1">
      <c r="A117" s="389"/>
      <c r="B117" s="380"/>
      <c r="C117" s="413"/>
      <c r="D117" s="400"/>
      <c r="E117" s="413"/>
      <c r="F117" s="400"/>
      <c r="G117" s="382"/>
      <c r="H117" s="380"/>
      <c r="I117" s="15"/>
    </row>
    <row r="118" spans="1:9" ht="12.75" customHeight="1">
      <c r="A118" s="389"/>
      <c r="B118" s="380"/>
      <c r="C118" s="413"/>
      <c r="D118" s="400"/>
      <c r="E118" s="413"/>
      <c r="F118" s="400"/>
      <c r="G118" s="382"/>
      <c r="H118" s="380"/>
      <c r="I118" s="15"/>
    </row>
    <row r="119" spans="1:9" ht="12.75" customHeight="1">
      <c r="A119" s="389"/>
      <c r="B119" s="380"/>
      <c r="C119" s="413"/>
      <c r="D119" s="400"/>
      <c r="E119" s="413"/>
      <c r="F119" s="400"/>
      <c r="G119" s="382"/>
      <c r="H119" s="380"/>
      <c r="I119" s="15"/>
    </row>
    <row r="120" spans="1:9" ht="12.75" customHeight="1">
      <c r="A120" s="389"/>
      <c r="B120" s="380"/>
      <c r="C120" s="413"/>
      <c r="D120" s="400"/>
      <c r="E120" s="413"/>
      <c r="F120" s="400"/>
      <c r="G120" s="382"/>
      <c r="H120" s="380"/>
      <c r="I120" s="15"/>
    </row>
    <row r="121" spans="1:9" ht="12.75" customHeight="1">
      <c r="A121" s="389"/>
      <c r="B121" s="380"/>
      <c r="C121" s="413"/>
      <c r="D121" s="400"/>
      <c r="E121" s="413"/>
      <c r="F121" s="400"/>
      <c r="G121" s="382"/>
      <c r="H121" s="380"/>
      <c r="I121" s="15"/>
    </row>
    <row r="122" spans="1:9" ht="12.75" customHeight="1">
      <c r="A122" s="389"/>
      <c r="B122" s="380"/>
      <c r="C122" s="413"/>
      <c r="D122" s="400"/>
      <c r="E122" s="413"/>
      <c r="F122" s="400"/>
      <c r="G122" s="382"/>
      <c r="H122" s="380"/>
      <c r="I122" s="15"/>
    </row>
    <row r="123" spans="1:9" ht="12.75" customHeight="1">
      <c r="A123" s="389"/>
      <c r="B123" s="380"/>
      <c r="C123" s="413"/>
      <c r="D123" s="400"/>
      <c r="E123" s="413"/>
      <c r="F123" s="400"/>
      <c r="G123" s="382"/>
      <c r="H123" s="380"/>
      <c r="I123" s="15"/>
    </row>
    <row r="124" spans="1:9" ht="12.75" customHeight="1">
      <c r="A124" s="389"/>
      <c r="B124" s="380"/>
      <c r="C124" s="501"/>
      <c r="D124" s="404"/>
      <c r="E124" s="501"/>
      <c r="F124" s="404"/>
      <c r="G124" s="382"/>
      <c r="H124" s="380"/>
      <c r="I124" s="15"/>
    </row>
    <row r="125" spans="1:9" ht="12.75" customHeight="1">
      <c r="A125" s="389"/>
      <c r="B125" s="380"/>
      <c r="C125" s="501"/>
      <c r="D125" s="404"/>
      <c r="E125" s="501"/>
      <c r="F125" s="404"/>
      <c r="G125" s="382"/>
      <c r="H125" s="380"/>
      <c r="I125" s="15"/>
    </row>
    <row r="126" spans="1:9" ht="12.75" customHeight="1">
      <c r="A126" s="392"/>
      <c r="B126" s="380"/>
      <c r="C126" s="413"/>
      <c r="D126" s="400"/>
      <c r="E126" s="413"/>
      <c r="F126" s="400"/>
      <c r="G126" s="382"/>
      <c r="H126" s="380"/>
      <c r="I126" s="15"/>
    </row>
    <row r="127" spans="1:9" ht="12.75" customHeight="1">
      <c r="A127" s="392"/>
      <c r="B127" s="390"/>
      <c r="C127" s="393"/>
      <c r="D127" s="394"/>
      <c r="E127" s="393"/>
      <c r="F127" s="394"/>
      <c r="G127" s="382"/>
      <c r="H127" s="380"/>
      <c r="I127" s="15"/>
    </row>
    <row r="128" spans="1:9" ht="12.75" customHeight="1">
      <c r="A128" s="389"/>
      <c r="B128" s="380"/>
      <c r="C128" s="413"/>
      <c r="D128" s="400"/>
      <c r="E128" s="413"/>
      <c r="F128" s="400"/>
      <c r="G128" s="382"/>
      <c r="H128" s="380"/>
      <c r="I128" s="15"/>
    </row>
    <row r="129" spans="1:9" ht="12.75" customHeight="1">
      <c r="A129" s="389"/>
      <c r="B129" s="380"/>
      <c r="C129" s="413"/>
      <c r="D129" s="400"/>
      <c r="E129" s="413"/>
      <c r="F129" s="400"/>
      <c r="G129" s="382"/>
      <c r="H129" s="380"/>
      <c r="I129" s="15"/>
    </row>
    <row r="130" spans="1:9" ht="12.75" customHeight="1">
      <c r="A130" s="389"/>
      <c r="B130" s="380"/>
      <c r="C130" s="413"/>
      <c r="D130" s="400"/>
      <c r="E130" s="501"/>
      <c r="F130" s="404"/>
      <c r="G130" s="382"/>
      <c r="H130" s="380"/>
      <c r="I130" s="15"/>
    </row>
    <row r="131" spans="1:9" ht="12.75" customHeight="1">
      <c r="A131" s="389"/>
      <c r="B131" s="380"/>
      <c r="C131" s="501"/>
      <c r="D131" s="404"/>
      <c r="E131" s="501"/>
      <c r="F131" s="404"/>
      <c r="G131" s="382"/>
      <c r="H131" s="380"/>
      <c r="I131" s="15"/>
    </row>
    <row r="132" spans="1:9" ht="12.75" customHeight="1">
      <c r="A132" s="389"/>
      <c r="B132" s="380"/>
      <c r="C132" s="501"/>
      <c r="D132" s="404"/>
      <c r="E132" s="501"/>
      <c r="F132" s="404"/>
      <c r="G132" s="382"/>
      <c r="H132" s="380"/>
      <c r="I132" s="15"/>
    </row>
    <row r="133" spans="1:9" ht="12.75" customHeight="1">
      <c r="A133" s="392"/>
      <c r="B133" s="390"/>
      <c r="C133" s="393"/>
      <c r="D133" s="394"/>
      <c r="E133" s="393"/>
      <c r="F133" s="394"/>
      <c r="G133" s="382"/>
      <c r="H133" s="380"/>
      <c r="I133" s="15"/>
    </row>
    <row r="134" spans="1:9" ht="12.75" customHeight="1">
      <c r="A134" s="389"/>
      <c r="B134" s="380"/>
      <c r="C134" s="413"/>
      <c r="D134" s="400"/>
      <c r="E134" s="413"/>
      <c r="F134" s="400"/>
      <c r="G134" s="382"/>
      <c r="H134" s="380"/>
      <c r="I134" s="15"/>
    </row>
    <row r="135" spans="1:9" ht="12.75" customHeight="1">
      <c r="A135" s="389"/>
      <c r="B135" s="380"/>
      <c r="C135" s="501"/>
      <c r="D135" s="404"/>
      <c r="E135" s="501"/>
      <c r="F135" s="404"/>
      <c r="G135" s="382"/>
      <c r="H135" s="380"/>
      <c r="I135" s="15"/>
    </row>
    <row r="136" spans="1:9" ht="12.75" customHeight="1">
      <c r="A136" s="389"/>
      <c r="B136" s="380"/>
      <c r="C136" s="501"/>
      <c r="D136" s="404"/>
      <c r="E136" s="501"/>
      <c r="F136" s="404"/>
      <c r="G136" s="382"/>
      <c r="H136" s="380"/>
      <c r="I136" s="15"/>
    </row>
    <row r="137" spans="1:9" ht="12.75" customHeight="1">
      <c r="A137" s="389"/>
      <c r="B137" s="380"/>
      <c r="C137" s="413"/>
      <c r="D137" s="400"/>
      <c r="E137" s="413"/>
      <c r="F137" s="400"/>
      <c r="G137" s="382"/>
      <c r="H137" s="380"/>
      <c r="I137" s="15"/>
    </row>
    <row r="138" spans="1:9" ht="12.75" customHeight="1">
      <c r="A138" s="392"/>
      <c r="B138" s="390"/>
      <c r="C138" s="393"/>
      <c r="D138" s="394"/>
      <c r="E138" s="393"/>
      <c r="F138" s="394"/>
      <c r="G138" s="382"/>
      <c r="H138" s="380"/>
      <c r="I138" s="15"/>
    </row>
    <row r="139" spans="1:9" ht="12.75" customHeight="1">
      <c r="A139" s="389"/>
      <c r="B139" s="380"/>
      <c r="C139" s="413"/>
      <c r="D139" s="400"/>
      <c r="E139" s="413"/>
      <c r="F139" s="400"/>
      <c r="G139" s="382"/>
      <c r="H139" s="380"/>
      <c r="I139" s="15"/>
    </row>
    <row r="140" spans="1:9" ht="12.75" customHeight="1">
      <c r="A140" s="389"/>
      <c r="B140" s="380"/>
      <c r="C140" s="413"/>
      <c r="D140" s="400"/>
      <c r="E140" s="501"/>
      <c r="F140" s="404"/>
      <c r="G140" s="382"/>
      <c r="H140" s="380"/>
      <c r="I140" s="15"/>
    </row>
    <row r="141" spans="1:9" ht="12.75" customHeight="1">
      <c r="A141" s="389"/>
      <c r="B141" s="380"/>
      <c r="C141" s="501"/>
      <c r="D141" s="404"/>
      <c r="E141" s="501"/>
      <c r="F141" s="404"/>
      <c r="G141" s="382"/>
      <c r="H141" s="380"/>
      <c r="I141" s="15"/>
    </row>
    <row r="142" spans="1:9" ht="12.75" customHeight="1">
      <c r="A142" s="389"/>
      <c r="B142" s="380"/>
      <c r="C142" s="501"/>
      <c r="D142" s="404"/>
      <c r="E142" s="501"/>
      <c r="F142" s="404"/>
      <c r="G142" s="382"/>
      <c r="H142" s="380"/>
      <c r="I142" s="15"/>
    </row>
    <row r="143" spans="1:9" ht="12.75" customHeight="1">
      <c r="A143" s="389"/>
      <c r="B143" s="380"/>
      <c r="C143" s="501"/>
      <c r="D143" s="400"/>
      <c r="F143" s="400"/>
      <c r="G143" s="382"/>
      <c r="H143" s="501"/>
      <c r="I143" s="15"/>
    </row>
    <row r="144" spans="1:9" ht="12.75" customHeight="1">
      <c r="A144" s="392"/>
      <c r="B144" s="390"/>
      <c r="C144" s="393"/>
      <c r="D144" s="394"/>
      <c r="E144" s="393"/>
      <c r="F144" s="394"/>
      <c r="G144" s="502"/>
      <c r="H144" s="390"/>
      <c r="I144" s="15"/>
    </row>
    <row r="145" spans="1:9" ht="12.75" customHeight="1">
      <c r="A145" s="389"/>
      <c r="B145" s="380"/>
      <c r="C145" s="413"/>
      <c r="D145" s="400"/>
      <c r="E145" s="624"/>
      <c r="F145" s="415"/>
      <c r="G145" s="498"/>
      <c r="H145" s="500"/>
      <c r="I145" s="15"/>
    </row>
    <row r="146" spans="1:9" ht="12.75" customHeight="1">
      <c r="A146" s="389"/>
      <c r="B146" s="390"/>
      <c r="C146" s="393"/>
      <c r="D146" s="394"/>
      <c r="E146" s="625"/>
      <c r="F146" s="424"/>
      <c r="G146" s="626"/>
      <c r="H146" s="555"/>
      <c r="I146" s="15"/>
    </row>
    <row r="147" spans="1:9" ht="12.75" customHeight="1">
      <c r="A147" s="389"/>
      <c r="B147" s="390"/>
      <c r="C147" s="393"/>
      <c r="D147" s="394"/>
      <c r="E147" s="625"/>
      <c r="F147" s="424"/>
      <c r="G147" s="626"/>
      <c r="H147" s="555"/>
      <c r="I147" s="15"/>
    </row>
    <row r="148" spans="1:9" ht="12.75" customHeight="1">
      <c r="A148" s="392"/>
      <c r="B148" s="380"/>
      <c r="C148" s="393"/>
      <c r="D148" s="394"/>
      <c r="E148" s="393"/>
      <c r="F148" s="394"/>
      <c r="G148" s="382"/>
      <c r="H148" s="380"/>
      <c r="I148" s="15"/>
    </row>
    <row r="149" spans="1:9" ht="12.75" customHeight="1">
      <c r="A149" s="141"/>
      <c r="B149" s="138"/>
      <c r="C149" s="142"/>
      <c r="D149" s="584"/>
      <c r="E149" s="142"/>
      <c r="F149" s="585"/>
      <c r="G149" s="138"/>
      <c r="H149" s="586"/>
      <c r="I149" s="15"/>
    </row>
    <row r="150" spans="1:9" ht="12.75" customHeight="1">
      <c r="A150" s="141"/>
      <c r="B150" s="138"/>
      <c r="C150" s="142"/>
      <c r="D150" s="584"/>
      <c r="E150" s="142"/>
      <c r="F150" s="585"/>
      <c r="G150" s="138"/>
      <c r="H150" s="586"/>
      <c r="I150" s="15"/>
    </row>
    <row r="151" spans="1:9" ht="12.75" customHeight="1">
      <c r="A151" s="141"/>
      <c r="B151" s="138"/>
      <c r="C151" s="142"/>
      <c r="D151" s="584"/>
      <c r="E151" s="142"/>
      <c r="F151" s="585"/>
      <c r="G151" s="138"/>
      <c r="H151" s="586"/>
      <c r="I151" s="15"/>
    </row>
    <row r="152" spans="1:9" ht="12.75" customHeight="1">
      <c r="A152" s="141"/>
      <c r="B152" s="138"/>
      <c r="C152" s="142"/>
      <c r="D152" s="584"/>
      <c r="E152" s="142"/>
      <c r="F152" s="585"/>
      <c r="G152" s="138"/>
      <c r="H152" s="586"/>
      <c r="I152" s="15"/>
    </row>
    <row r="153" spans="1:9" ht="12.75" customHeight="1">
      <c r="A153" s="141"/>
      <c r="B153" s="138"/>
      <c r="C153" s="142"/>
      <c r="D153" s="584"/>
      <c r="E153" s="142"/>
      <c r="F153" s="585"/>
      <c r="G153" s="138"/>
      <c r="H153" s="586"/>
      <c r="I153" s="15"/>
    </row>
    <row r="154" spans="1:9" ht="12.75" customHeight="1">
      <c r="A154" s="141"/>
      <c r="B154" s="138"/>
      <c r="C154" s="142"/>
      <c r="D154" s="584"/>
      <c r="E154" s="142"/>
      <c r="F154" s="585"/>
      <c r="G154" s="138"/>
      <c r="H154" s="586"/>
      <c r="I154" s="15"/>
    </row>
    <row r="155" spans="1:9" ht="12.75" customHeight="1">
      <c r="A155" s="141"/>
      <c r="B155" s="138"/>
      <c r="C155" s="142"/>
      <c r="D155" s="584"/>
      <c r="E155" s="142"/>
      <c r="F155" s="585"/>
      <c r="G155" s="138"/>
      <c r="H155" s="586"/>
      <c r="I155" s="15"/>
    </row>
    <row r="156" spans="1:9" ht="12.75" customHeight="1">
      <c r="A156" s="141"/>
      <c r="B156" s="138"/>
      <c r="C156" s="142"/>
      <c r="D156" s="584"/>
      <c r="E156" s="142"/>
      <c r="F156" s="585"/>
      <c r="G156" s="138"/>
      <c r="H156" s="586"/>
      <c r="I156" s="15"/>
    </row>
    <row r="157" spans="1:9" ht="12.75" customHeight="1">
      <c r="A157" s="141"/>
      <c r="B157" s="138"/>
      <c r="C157" s="142"/>
      <c r="D157" s="584"/>
      <c r="E157" s="142"/>
      <c r="F157" s="585"/>
      <c r="G157" s="138"/>
      <c r="H157" s="586"/>
      <c r="I157" s="15"/>
    </row>
    <row r="158" spans="1:9" ht="12.75" customHeight="1">
      <c r="A158" s="141"/>
      <c r="B158" s="138"/>
      <c r="C158" s="142"/>
      <c r="D158" s="584"/>
      <c r="E158" s="142"/>
      <c r="F158" s="585"/>
      <c r="G158" s="138"/>
      <c r="H158" s="586"/>
      <c r="I158" s="15"/>
    </row>
    <row r="159" spans="1:9" ht="12.75" customHeight="1">
      <c r="A159" s="141"/>
      <c r="B159" s="138"/>
      <c r="C159" s="142"/>
      <c r="D159" s="584"/>
      <c r="E159" s="142"/>
      <c r="F159" s="585"/>
      <c r="G159" s="138"/>
      <c r="H159" s="586"/>
      <c r="I159" s="15"/>
    </row>
    <row r="160" spans="1:9" ht="12.75" customHeight="1">
      <c r="A160" s="141"/>
      <c r="B160" s="138"/>
      <c r="C160" s="142"/>
      <c r="D160" s="584"/>
      <c r="E160" s="142"/>
      <c r="F160" s="585"/>
      <c r="G160" s="138"/>
      <c r="H160" s="586"/>
      <c r="I160" s="15"/>
    </row>
    <row r="161" spans="1:9" ht="12.75" customHeight="1">
      <c r="A161" s="141"/>
      <c r="B161" s="138"/>
      <c r="C161" s="142"/>
      <c r="D161" s="584"/>
      <c r="E161" s="142"/>
      <c r="F161" s="585"/>
      <c r="G161" s="138"/>
      <c r="H161" s="586"/>
      <c r="I161" s="15"/>
    </row>
    <row r="162" spans="1:9" ht="12.75" customHeight="1">
      <c r="A162" s="141"/>
      <c r="B162" s="138"/>
      <c r="C162" s="142"/>
      <c r="D162" s="584"/>
      <c r="E162" s="142"/>
      <c r="F162" s="585"/>
      <c r="G162" s="138"/>
      <c r="H162" s="586"/>
      <c r="I162" s="15"/>
    </row>
    <row r="163" spans="1:9" ht="12.75" customHeight="1">
      <c r="A163" s="141"/>
      <c r="B163" s="138"/>
      <c r="C163" s="142"/>
      <c r="D163" s="584"/>
      <c r="E163" s="142"/>
      <c r="F163" s="585"/>
      <c r="G163" s="138"/>
      <c r="H163" s="586"/>
      <c r="I163" s="15"/>
    </row>
    <row r="164" spans="1:9" ht="12.75" customHeight="1">
      <c r="A164" s="141"/>
      <c r="B164" s="138"/>
      <c r="C164" s="142"/>
      <c r="D164" s="584"/>
      <c r="E164" s="142"/>
      <c r="F164" s="585"/>
      <c r="G164" s="138"/>
      <c r="H164" s="586"/>
      <c r="I164" s="15"/>
    </row>
    <row r="165" spans="1:9" ht="12.75" customHeight="1">
      <c r="A165" s="141"/>
      <c r="B165" s="138"/>
      <c r="C165" s="142"/>
      <c r="D165" s="584"/>
      <c r="E165" s="142"/>
      <c r="F165" s="585"/>
      <c r="G165" s="138"/>
      <c r="H165" s="586"/>
      <c r="I165" s="15"/>
    </row>
    <row r="166" spans="1:9" ht="12.75" customHeight="1">
      <c r="A166" s="141"/>
      <c r="B166" s="138"/>
      <c r="C166" s="142"/>
      <c r="D166" s="584"/>
      <c r="E166" s="142"/>
      <c r="F166" s="585"/>
      <c r="G166" s="138"/>
      <c r="H166" s="586"/>
      <c r="I166" s="15"/>
    </row>
    <row r="167" spans="1:9" ht="12.75" customHeight="1">
      <c r="A167" s="141"/>
      <c r="B167" s="138"/>
      <c r="C167" s="142"/>
      <c r="D167" s="584"/>
      <c r="E167" s="142"/>
      <c r="F167" s="585"/>
      <c r="G167" s="138"/>
      <c r="H167" s="586"/>
      <c r="I167" s="15"/>
    </row>
    <row r="168" spans="1:9" ht="12.75" customHeight="1">
      <c r="A168" s="141"/>
      <c r="B168" s="138"/>
      <c r="C168" s="142"/>
      <c r="D168" s="584"/>
      <c r="E168" s="142"/>
      <c r="F168" s="585"/>
      <c r="G168" s="138"/>
      <c r="H168" s="586"/>
      <c r="I168" s="15"/>
    </row>
    <row r="169" spans="1:9" ht="12.75" customHeight="1">
      <c r="A169" s="141"/>
      <c r="B169" s="138"/>
      <c r="C169" s="142"/>
      <c r="D169" s="584"/>
      <c r="E169" s="142"/>
      <c r="F169" s="585"/>
      <c r="G169" s="138"/>
      <c r="H169" s="586"/>
      <c r="I169" s="15"/>
    </row>
    <row r="170" spans="1:9" ht="12.75" customHeight="1">
      <c r="A170" s="141"/>
      <c r="B170" s="138"/>
      <c r="C170" s="142"/>
      <c r="D170" s="584"/>
      <c r="E170" s="142"/>
      <c r="F170" s="585"/>
      <c r="G170" s="138"/>
      <c r="H170" s="586"/>
      <c r="I170" s="15"/>
    </row>
    <row r="171" spans="1:9" ht="12.75" customHeight="1">
      <c r="A171" s="141"/>
      <c r="B171" s="138"/>
      <c r="C171" s="142"/>
      <c r="D171" s="584"/>
      <c r="E171" s="142"/>
      <c r="F171" s="585"/>
      <c r="G171" s="138"/>
      <c r="H171" s="586"/>
      <c r="I171" s="15"/>
    </row>
    <row r="172" spans="1:9" ht="12.75" customHeight="1">
      <c r="A172" s="141"/>
      <c r="B172" s="138"/>
      <c r="C172" s="142"/>
      <c r="D172" s="584"/>
      <c r="E172" s="142"/>
      <c r="F172" s="585"/>
      <c r="G172" s="138"/>
      <c r="H172" s="586"/>
      <c r="I172" s="15"/>
    </row>
    <row r="173" spans="1:9" ht="12.75" customHeight="1">
      <c r="A173" s="141"/>
      <c r="B173" s="138"/>
      <c r="C173" s="142"/>
      <c r="D173" s="584"/>
      <c r="E173" s="142"/>
      <c r="F173" s="585"/>
      <c r="G173" s="138"/>
      <c r="H173" s="586"/>
      <c r="I173" s="15"/>
    </row>
    <row r="174" spans="1:9" ht="12.75" customHeight="1">
      <c r="A174" s="141"/>
      <c r="B174" s="138"/>
      <c r="C174" s="142"/>
      <c r="D174" s="584"/>
      <c r="E174" s="142"/>
      <c r="F174" s="585"/>
      <c r="G174" s="138"/>
      <c r="H174" s="586"/>
      <c r="I174" s="15"/>
    </row>
    <row r="175" spans="1:9" ht="12.75" customHeight="1">
      <c r="A175" s="141"/>
      <c r="B175" s="138"/>
      <c r="C175" s="142"/>
      <c r="D175" s="584"/>
      <c r="E175" s="142"/>
      <c r="F175" s="585"/>
      <c r="G175" s="138"/>
      <c r="H175" s="586"/>
      <c r="I175" s="15"/>
    </row>
    <row r="176" spans="1:9" ht="12.75" customHeight="1">
      <c r="A176" s="141"/>
      <c r="B176" s="138"/>
      <c r="C176" s="142"/>
      <c r="D176" s="584"/>
      <c r="E176" s="142"/>
      <c r="F176" s="585"/>
      <c r="G176" s="138"/>
      <c r="H176" s="586"/>
      <c r="I176" s="15"/>
    </row>
    <row r="177" spans="1:9" ht="12.75" customHeight="1">
      <c r="A177" s="141"/>
      <c r="B177" s="138"/>
      <c r="C177" s="142"/>
      <c r="D177" s="584"/>
      <c r="E177" s="142"/>
      <c r="F177" s="585"/>
      <c r="G177" s="138"/>
      <c r="H177" s="586"/>
      <c r="I177" s="15"/>
    </row>
    <row r="178" spans="1:9" ht="12.75" customHeight="1">
      <c r="A178" s="141"/>
      <c r="B178" s="138"/>
      <c r="C178" s="142"/>
      <c r="D178" s="584"/>
      <c r="E178" s="142"/>
      <c r="F178" s="585"/>
      <c r="G178" s="138"/>
      <c r="H178" s="586"/>
      <c r="I178" s="15"/>
    </row>
    <row r="179" spans="1:9" ht="12.75" customHeight="1">
      <c r="A179" s="141"/>
      <c r="B179" s="138"/>
      <c r="C179" s="142"/>
      <c r="D179" s="584"/>
      <c r="E179" s="142"/>
      <c r="F179" s="585"/>
      <c r="G179" s="138"/>
      <c r="H179" s="586"/>
      <c r="I179" s="15"/>
    </row>
    <row r="180" spans="1:9" ht="12.75" customHeight="1">
      <c r="A180" s="141"/>
      <c r="B180" s="138"/>
      <c r="C180" s="142"/>
      <c r="D180" s="584"/>
      <c r="E180" s="142"/>
      <c r="F180" s="585"/>
      <c r="G180" s="138"/>
      <c r="H180" s="586"/>
      <c r="I180" s="15"/>
    </row>
    <row r="181" spans="1:9" ht="12.75" customHeight="1">
      <c r="A181" s="141"/>
      <c r="B181" s="138"/>
      <c r="C181" s="142"/>
      <c r="D181" s="584"/>
      <c r="E181" s="142"/>
      <c r="F181" s="585"/>
      <c r="G181" s="138"/>
      <c r="H181" s="586"/>
      <c r="I181" s="15"/>
    </row>
    <row r="182" spans="1:9" ht="12.75" customHeight="1">
      <c r="A182" s="141"/>
      <c r="B182" s="138"/>
      <c r="C182" s="142"/>
      <c r="D182" s="584"/>
      <c r="E182" s="142"/>
      <c r="F182" s="585"/>
      <c r="G182" s="138"/>
      <c r="H182" s="586"/>
      <c r="I182" s="15"/>
    </row>
    <row r="183" spans="1:9" ht="12.75" customHeight="1">
      <c r="A183" s="141"/>
      <c r="B183" s="138"/>
      <c r="C183" s="142"/>
      <c r="D183" s="584"/>
      <c r="E183" s="142"/>
      <c r="F183" s="585"/>
      <c r="G183" s="138"/>
      <c r="H183" s="586"/>
      <c r="I183" s="15"/>
    </row>
    <row r="184" spans="1:9" ht="12.75" customHeight="1">
      <c r="A184" s="141"/>
      <c r="B184" s="138"/>
      <c r="C184" s="142"/>
      <c r="D184" s="584"/>
      <c r="E184" s="142"/>
      <c r="F184" s="585"/>
      <c r="G184" s="138"/>
      <c r="H184" s="586"/>
      <c r="I184" s="15"/>
    </row>
    <row r="185" spans="1:9" ht="12.75" customHeight="1">
      <c r="A185" s="141"/>
      <c r="B185" s="138"/>
      <c r="C185" s="142"/>
      <c r="D185" s="584"/>
      <c r="E185" s="142"/>
      <c r="F185" s="585"/>
      <c r="G185" s="138"/>
      <c r="H185" s="586"/>
      <c r="I185" s="15"/>
    </row>
    <row r="186" spans="1:9" ht="12.75" customHeight="1">
      <c r="A186" s="141"/>
      <c r="B186" s="138"/>
      <c r="C186" s="142"/>
      <c r="D186" s="584"/>
      <c r="E186" s="142"/>
      <c r="F186" s="585"/>
      <c r="G186" s="138"/>
      <c r="H186" s="586"/>
      <c r="I186" s="15"/>
    </row>
    <row r="187" spans="1:9" ht="12.75" customHeight="1">
      <c r="A187" s="141"/>
      <c r="B187" s="138"/>
      <c r="C187" s="142"/>
      <c r="D187" s="584"/>
      <c r="E187" s="142"/>
      <c r="F187" s="585"/>
      <c r="G187" s="138"/>
      <c r="H187" s="586"/>
      <c r="I187" s="15"/>
    </row>
    <row r="188" spans="1:9" ht="12.75" customHeight="1">
      <c r="A188" s="141"/>
      <c r="B188" s="138"/>
      <c r="C188" s="142"/>
      <c r="D188" s="584"/>
      <c r="E188" s="142"/>
      <c r="F188" s="585"/>
      <c r="G188" s="138"/>
      <c r="H188" s="586"/>
      <c r="I188" s="15"/>
    </row>
    <row r="189" spans="1:9" ht="12.75" customHeight="1">
      <c r="A189" s="141"/>
      <c r="B189" s="138"/>
      <c r="C189" s="142"/>
      <c r="D189" s="584"/>
      <c r="E189" s="142"/>
      <c r="F189" s="585"/>
      <c r="G189" s="138"/>
      <c r="H189" s="586"/>
      <c r="I189" s="15"/>
    </row>
    <row r="190" spans="1:9" ht="12.75" customHeight="1">
      <c r="A190" s="141"/>
      <c r="B190" s="138"/>
      <c r="C190" s="142"/>
      <c r="D190" s="584"/>
      <c r="E190" s="142"/>
      <c r="F190" s="585"/>
      <c r="G190" s="138"/>
      <c r="H190" s="586"/>
      <c r="I190" s="15"/>
    </row>
    <row r="191" spans="1:9" ht="12.75" customHeight="1">
      <c r="A191" s="141"/>
      <c r="B191" s="138"/>
      <c r="C191" s="142"/>
      <c r="D191" s="584"/>
      <c r="E191" s="142"/>
      <c r="F191" s="585"/>
      <c r="G191" s="138"/>
      <c r="H191" s="586"/>
      <c r="I191" s="15"/>
    </row>
    <row r="192" spans="1:9" ht="12.75" customHeight="1">
      <c r="A192" s="141"/>
      <c r="B192" s="138"/>
      <c r="C192" s="142"/>
      <c r="D192" s="584"/>
      <c r="E192" s="142"/>
      <c r="F192" s="585"/>
      <c r="G192" s="138"/>
      <c r="H192" s="586"/>
      <c r="I192" s="15"/>
    </row>
    <row r="193" spans="1:9" ht="12.75" customHeight="1">
      <c r="A193" s="141"/>
      <c r="B193" s="138"/>
      <c r="C193" s="587"/>
      <c r="D193" s="588"/>
      <c r="E193" s="587"/>
      <c r="F193" s="589"/>
      <c r="G193" s="138"/>
      <c r="H193" s="586"/>
      <c r="I193" s="15"/>
    </row>
    <row r="194" spans="1:9" ht="12.75" customHeight="1">
      <c r="A194" s="143"/>
      <c r="B194" s="144"/>
      <c r="C194" s="145"/>
      <c r="D194" s="590"/>
      <c r="E194" s="145"/>
      <c r="F194" s="591"/>
      <c r="G194" s="138"/>
      <c r="H194" s="586"/>
      <c r="I194" s="15"/>
    </row>
    <row r="195" spans="1:9" ht="12.75" customHeight="1">
      <c r="A195" s="146"/>
      <c r="B195" s="144"/>
      <c r="C195" s="145"/>
      <c r="D195" s="590"/>
      <c r="E195" s="145"/>
      <c r="F195" s="591"/>
      <c r="G195" s="138"/>
      <c r="H195" s="586"/>
      <c r="I195" s="15"/>
    </row>
    <row r="196" spans="1:9" ht="12.75" customHeight="1">
      <c r="A196" s="146"/>
      <c r="B196" s="144"/>
      <c r="C196" s="145"/>
      <c r="D196" s="590"/>
      <c r="E196" s="145"/>
      <c r="F196" s="592"/>
      <c r="G196" s="138"/>
      <c r="H196" s="586"/>
      <c r="I196" s="15"/>
    </row>
    <row r="197" spans="1:9" ht="12.75" customHeight="1">
      <c r="A197" s="143"/>
      <c r="B197" s="144"/>
      <c r="C197" s="593"/>
      <c r="D197" s="594"/>
      <c r="E197" s="595"/>
      <c r="F197" s="596"/>
      <c r="G197" s="138"/>
      <c r="H197" s="586"/>
      <c r="I197" s="15"/>
    </row>
    <row r="198" spans="1:9" ht="12.75" customHeight="1">
      <c r="A198" s="143"/>
      <c r="B198" s="144"/>
      <c r="C198" s="147"/>
      <c r="D198" s="597"/>
      <c r="E198" s="147"/>
      <c r="F198" s="598"/>
      <c r="G198" s="138"/>
      <c r="H198" s="586"/>
      <c r="I198" s="15"/>
    </row>
    <row r="199" spans="1:9" ht="12.75" customHeight="1">
      <c r="A199" s="143"/>
      <c r="B199" s="144"/>
      <c r="C199" s="147"/>
      <c r="D199" s="597"/>
      <c r="E199" s="145"/>
      <c r="F199" s="599"/>
      <c r="G199" s="138"/>
      <c r="H199" s="586"/>
      <c r="I199" s="15"/>
    </row>
    <row r="200" spans="1:9" ht="12.75" customHeight="1">
      <c r="A200" s="143"/>
      <c r="B200" s="144"/>
      <c r="C200" s="145"/>
      <c r="D200" s="590"/>
      <c r="E200" s="145"/>
      <c r="F200" s="599"/>
      <c r="G200" s="138"/>
      <c r="H200" s="586"/>
      <c r="I200" s="15"/>
    </row>
    <row r="201" spans="1:9" ht="12.75" customHeight="1">
      <c r="A201" s="143"/>
      <c r="B201" s="144"/>
      <c r="C201" s="145"/>
      <c r="D201" s="590"/>
      <c r="E201" s="145"/>
      <c r="F201" s="599"/>
      <c r="G201" s="138"/>
      <c r="H201" s="586"/>
      <c r="I201" s="15"/>
    </row>
    <row r="202" spans="1:9" ht="12.75" customHeight="1">
      <c r="A202" s="146"/>
      <c r="B202" s="144"/>
      <c r="C202" s="145"/>
      <c r="D202" s="590"/>
      <c r="E202" s="145"/>
      <c r="F202" s="592"/>
      <c r="G202" s="138"/>
      <c r="H202" s="586"/>
      <c r="I202" s="15"/>
    </row>
    <row r="203" spans="1:9" ht="12.75" customHeight="1">
      <c r="A203" s="143"/>
      <c r="B203" s="144"/>
      <c r="C203" s="147"/>
      <c r="D203" s="597"/>
      <c r="E203" s="147"/>
      <c r="F203" s="600"/>
      <c r="G203" s="138"/>
      <c r="H203" s="586"/>
      <c r="I203" s="15"/>
    </row>
    <row r="204" spans="1:9" ht="12.75" customHeight="1">
      <c r="A204" s="143"/>
      <c r="B204" s="144"/>
      <c r="C204" s="145"/>
      <c r="D204" s="590"/>
      <c r="E204" s="145"/>
      <c r="F204" s="592"/>
      <c r="G204" s="138"/>
      <c r="H204" s="586"/>
      <c r="I204" s="15"/>
    </row>
    <row r="205" spans="1:9" ht="12.75" customHeight="1">
      <c r="A205" s="143"/>
      <c r="B205" s="144"/>
      <c r="C205" s="145"/>
      <c r="D205" s="590"/>
      <c r="E205" s="145"/>
      <c r="F205" s="592"/>
      <c r="G205" s="138"/>
      <c r="H205" s="586"/>
      <c r="I205" s="15"/>
    </row>
    <row r="206" spans="1:9" ht="12.75" customHeight="1">
      <c r="A206" s="143"/>
      <c r="B206" s="144"/>
      <c r="C206" s="145"/>
      <c r="D206" s="590"/>
      <c r="E206" s="145"/>
      <c r="F206" s="592"/>
      <c r="G206" s="138"/>
      <c r="H206" s="586"/>
      <c r="I206" s="15"/>
    </row>
    <row r="207" spans="1:9" ht="12.75" customHeight="1">
      <c r="A207" s="146"/>
      <c r="B207" s="144"/>
      <c r="C207" s="145"/>
      <c r="D207" s="590"/>
      <c r="E207" s="145"/>
      <c r="F207" s="591"/>
      <c r="G207" s="138"/>
      <c r="H207" s="586"/>
      <c r="I207" s="15"/>
    </row>
    <row r="208" spans="1:9" ht="12.75" customHeight="1">
      <c r="A208" s="143"/>
      <c r="B208" s="144"/>
      <c r="C208" s="593"/>
      <c r="D208" s="594"/>
      <c r="E208" s="142"/>
      <c r="F208" s="596"/>
      <c r="G208" s="138"/>
      <c r="H208" s="586"/>
      <c r="I208" s="15"/>
    </row>
    <row r="209" spans="1:9" ht="12.75" customHeight="1">
      <c r="A209" s="143"/>
      <c r="B209" s="144"/>
      <c r="C209" s="147"/>
      <c r="D209" s="597"/>
      <c r="E209" s="145"/>
      <c r="F209" s="592"/>
      <c r="G209" s="138"/>
      <c r="H209" s="586"/>
      <c r="I209" s="15"/>
    </row>
    <row r="210" spans="1:9" ht="12.75" customHeight="1">
      <c r="A210" s="143"/>
      <c r="B210" s="144"/>
      <c r="C210" s="145"/>
      <c r="D210" s="590"/>
      <c r="E210" s="145"/>
      <c r="F210" s="592"/>
      <c r="G210" s="138"/>
      <c r="H210" s="586"/>
      <c r="I210" s="15"/>
    </row>
    <row r="211" spans="1:9" ht="12.75" customHeight="1">
      <c r="A211" s="143"/>
      <c r="B211" s="144"/>
      <c r="C211" s="145"/>
      <c r="D211" s="590"/>
      <c r="E211" s="145"/>
      <c r="F211" s="592"/>
      <c r="G211" s="138"/>
      <c r="H211" s="586"/>
      <c r="I211" s="15"/>
    </row>
    <row r="212" spans="1:9" ht="12.75" customHeight="1">
      <c r="A212" s="143"/>
      <c r="B212" s="144"/>
      <c r="C212" s="145"/>
      <c r="D212" s="590"/>
      <c r="E212" s="601"/>
      <c r="F212" s="591"/>
      <c r="G212" s="145"/>
      <c r="H212" s="586"/>
      <c r="I212" s="15"/>
    </row>
    <row r="213" spans="1:10" ht="12.75" customHeight="1">
      <c r="A213" s="602"/>
      <c r="B213" s="603"/>
      <c r="C213" s="604"/>
      <c r="D213" s="605"/>
      <c r="E213" s="604"/>
      <c r="F213" s="606"/>
      <c r="G213" s="607"/>
      <c r="H213" s="608"/>
      <c r="I213" s="15"/>
      <c r="J213" s="552"/>
    </row>
    <row r="214" spans="1:10" ht="12.75" customHeight="1">
      <c r="A214" s="143"/>
      <c r="B214" s="609"/>
      <c r="C214" s="610"/>
      <c r="D214" s="597"/>
      <c r="E214" s="609"/>
      <c r="F214" s="610"/>
      <c r="G214" s="597"/>
      <c r="H214" s="597"/>
      <c r="I214" s="15"/>
      <c r="J214" s="552"/>
    </row>
    <row r="215" spans="1:10" ht="12.75" customHeight="1">
      <c r="A215" s="143"/>
      <c r="B215" s="611"/>
      <c r="C215" s="612"/>
      <c r="D215" s="590"/>
      <c r="E215" s="611"/>
      <c r="F215" s="613"/>
      <c r="G215" s="614"/>
      <c r="H215" s="615"/>
      <c r="I215" s="15"/>
      <c r="J215" s="552"/>
    </row>
    <row r="216" spans="1:9" ht="12.75" customHeight="1">
      <c r="A216" s="143"/>
      <c r="B216" s="611"/>
      <c r="C216" s="612"/>
      <c r="D216" s="590"/>
      <c r="E216" s="611"/>
      <c r="F216" s="613"/>
      <c r="G216" s="614"/>
      <c r="H216" s="615"/>
      <c r="I216" s="15"/>
    </row>
    <row r="217" spans="1:9" ht="12.75" customHeight="1">
      <c r="A217" s="143"/>
      <c r="B217" s="616"/>
      <c r="C217" s="145"/>
      <c r="D217" s="590"/>
      <c r="E217" s="616"/>
      <c r="F217" s="617"/>
      <c r="G217" s="591"/>
      <c r="H217" s="618"/>
      <c r="I217" s="15"/>
    </row>
    <row r="218" spans="1:9" ht="12.75" customHeight="1">
      <c r="A218" s="395"/>
      <c r="B218" s="396"/>
      <c r="C218" s="397"/>
      <c r="D218" s="398"/>
      <c r="E218" s="399"/>
      <c r="F218" s="400"/>
      <c r="G218" s="444"/>
      <c r="H218" s="396"/>
      <c r="I218" s="15"/>
    </row>
    <row r="219" spans="1:9" ht="12.75" customHeight="1">
      <c r="A219" s="395"/>
      <c r="B219" s="396"/>
      <c r="C219" s="397"/>
      <c r="D219" s="398"/>
      <c r="E219" s="399"/>
      <c r="F219" s="400"/>
      <c r="G219" s="444"/>
      <c r="H219" s="396"/>
      <c r="I219" s="15"/>
    </row>
    <row r="220" spans="1:9" ht="12.75" customHeight="1">
      <c r="A220" s="395"/>
      <c r="B220" s="396"/>
      <c r="C220" s="397"/>
      <c r="D220" s="398"/>
      <c r="E220" s="399"/>
      <c r="F220" s="400"/>
      <c r="G220" s="444"/>
      <c r="H220" s="396"/>
      <c r="I220" s="15"/>
    </row>
    <row r="221" spans="1:9" ht="12.75" customHeight="1">
      <c r="A221" s="395"/>
      <c r="B221" s="396"/>
      <c r="C221" s="397"/>
      <c r="D221" s="398"/>
      <c r="E221" s="399"/>
      <c r="F221" s="400"/>
      <c r="G221" s="444"/>
      <c r="H221" s="396"/>
      <c r="I221" s="15"/>
    </row>
    <row r="222" spans="1:9" ht="12.75" customHeight="1">
      <c r="A222" s="395"/>
      <c r="B222" s="396"/>
      <c r="C222" s="397"/>
      <c r="D222" s="398"/>
      <c r="E222" s="399"/>
      <c r="F222" s="400"/>
      <c r="G222" s="444"/>
      <c r="H222" s="396"/>
      <c r="I222" s="15"/>
    </row>
    <row r="223" spans="1:9" ht="12.75" customHeight="1">
      <c r="A223" s="395"/>
      <c r="B223" s="396"/>
      <c r="C223" s="397"/>
      <c r="D223" s="398"/>
      <c r="E223" s="399"/>
      <c r="F223" s="400"/>
      <c r="G223" s="444"/>
      <c r="H223" s="396"/>
      <c r="I223" s="15"/>
    </row>
    <row r="224" spans="1:9" ht="12.75" customHeight="1">
      <c r="A224" s="395"/>
      <c r="B224" s="396"/>
      <c r="C224" s="397"/>
      <c r="D224" s="398"/>
      <c r="E224" s="399"/>
      <c r="F224" s="400"/>
      <c r="G224" s="444"/>
      <c r="H224" s="396"/>
      <c r="I224" s="15"/>
    </row>
    <row r="225" spans="1:9" ht="12.75" customHeight="1">
      <c r="A225" s="395"/>
      <c r="B225" s="396"/>
      <c r="C225" s="397"/>
      <c r="D225" s="398"/>
      <c r="E225" s="399"/>
      <c r="F225" s="400"/>
      <c r="G225" s="444"/>
      <c r="H225" s="396"/>
      <c r="I225" s="15"/>
    </row>
    <row r="226" spans="1:9" ht="12.75" customHeight="1">
      <c r="A226" s="395"/>
      <c r="B226" s="396"/>
      <c r="C226" s="397"/>
      <c r="D226" s="398"/>
      <c r="E226" s="399"/>
      <c r="F226" s="400"/>
      <c r="G226" s="444"/>
      <c r="H226" s="396"/>
      <c r="I226" s="15"/>
    </row>
    <row r="227" spans="1:9" ht="12.75" customHeight="1">
      <c r="A227" s="395"/>
      <c r="B227" s="396"/>
      <c r="C227" s="397"/>
      <c r="D227" s="398"/>
      <c r="E227" s="399"/>
      <c r="F227" s="400"/>
      <c r="G227" s="444"/>
      <c r="H227" s="396"/>
      <c r="I227" s="15"/>
    </row>
    <row r="228" spans="1:9" ht="12.75" customHeight="1">
      <c r="A228" s="395"/>
      <c r="B228" s="396"/>
      <c r="C228" s="397"/>
      <c r="D228" s="398"/>
      <c r="E228" s="399"/>
      <c r="F228" s="400"/>
      <c r="G228" s="444"/>
      <c r="H228" s="396"/>
      <c r="I228" s="15"/>
    </row>
    <row r="229" spans="1:9" ht="12.75" customHeight="1">
      <c r="A229" s="395"/>
      <c r="B229" s="396"/>
      <c r="C229" s="397"/>
      <c r="D229" s="398"/>
      <c r="E229" s="399"/>
      <c r="F229" s="400"/>
      <c r="G229" s="444"/>
      <c r="H229" s="396"/>
      <c r="I229" s="15"/>
    </row>
    <row r="230" spans="1:9" ht="12.75" customHeight="1">
      <c r="A230" s="395"/>
      <c r="B230" s="396"/>
      <c r="C230" s="397"/>
      <c r="D230" s="398"/>
      <c r="E230" s="399"/>
      <c r="F230" s="400"/>
      <c r="G230" s="444"/>
      <c r="H230" s="396"/>
      <c r="I230" s="15"/>
    </row>
    <row r="231" spans="1:9" ht="12.75" customHeight="1">
      <c r="A231" s="395"/>
      <c r="B231" s="396"/>
      <c r="C231" s="397"/>
      <c r="D231" s="398"/>
      <c r="E231" s="399"/>
      <c r="F231" s="400"/>
      <c r="G231" s="444"/>
      <c r="H231" s="396"/>
      <c r="I231" s="15"/>
    </row>
    <row r="232" spans="1:9" ht="12.75" customHeight="1">
      <c r="A232" s="395"/>
      <c r="B232" s="396"/>
      <c r="C232" s="397"/>
      <c r="D232" s="398"/>
      <c r="E232" s="399"/>
      <c r="F232" s="400"/>
      <c r="G232" s="444"/>
      <c r="H232" s="396"/>
      <c r="I232" s="15"/>
    </row>
    <row r="233" spans="1:9" ht="12.75" customHeight="1">
      <c r="A233" s="395"/>
      <c r="B233" s="396"/>
      <c r="C233" s="397"/>
      <c r="D233" s="398"/>
      <c r="E233" s="399"/>
      <c r="F233" s="400"/>
      <c r="G233" s="444"/>
      <c r="H233" s="396"/>
      <c r="I233" s="15"/>
    </row>
    <row r="234" spans="1:9" ht="12.75" customHeight="1">
      <c r="A234" s="395"/>
      <c r="B234" s="396"/>
      <c r="C234" s="397"/>
      <c r="D234" s="398"/>
      <c r="E234" s="399"/>
      <c r="F234" s="400"/>
      <c r="G234" s="444"/>
      <c r="H234" s="396"/>
      <c r="I234" s="15"/>
    </row>
    <row r="235" spans="1:9" ht="12.75" customHeight="1">
      <c r="A235" s="395"/>
      <c r="B235" s="396"/>
      <c r="C235" s="397"/>
      <c r="D235" s="398"/>
      <c r="E235" s="399"/>
      <c r="F235" s="400"/>
      <c r="G235" s="444"/>
      <c r="H235" s="396"/>
      <c r="I235" s="15"/>
    </row>
    <row r="236" spans="1:9" ht="12.75" customHeight="1">
      <c r="A236" s="395"/>
      <c r="B236" s="396"/>
      <c r="C236" s="397"/>
      <c r="D236" s="398"/>
      <c r="E236" s="399"/>
      <c r="F236" s="400"/>
      <c r="G236" s="444"/>
      <c r="H236" s="396"/>
      <c r="I236" s="15"/>
    </row>
    <row r="237" spans="1:9" ht="12.75" customHeight="1">
      <c r="A237" s="395"/>
      <c r="B237" s="396"/>
      <c r="C237" s="397"/>
      <c r="D237" s="398"/>
      <c r="E237" s="399"/>
      <c r="F237" s="400"/>
      <c r="G237" s="444"/>
      <c r="H237" s="396"/>
      <c r="I237" s="15"/>
    </row>
    <row r="238" spans="1:9" ht="12.75" customHeight="1">
      <c r="A238" s="395"/>
      <c r="B238" s="396"/>
      <c r="C238" s="397"/>
      <c r="D238" s="398"/>
      <c r="E238" s="399"/>
      <c r="F238" s="400"/>
      <c r="G238" s="444"/>
      <c r="H238" s="396"/>
      <c r="I238" s="15"/>
    </row>
    <row r="239" spans="1:9" ht="12.75" customHeight="1">
      <c r="A239" s="395"/>
      <c r="B239" s="396"/>
      <c r="C239" s="397"/>
      <c r="D239" s="398"/>
      <c r="E239" s="399"/>
      <c r="F239" s="400"/>
      <c r="G239" s="444"/>
      <c r="H239" s="396"/>
      <c r="I239" s="15"/>
    </row>
    <row r="240" spans="1:9" ht="12.75" customHeight="1">
      <c r="A240" s="395"/>
      <c r="B240" s="396"/>
      <c r="C240" s="397"/>
      <c r="D240" s="398"/>
      <c r="E240" s="399"/>
      <c r="F240" s="400"/>
      <c r="G240" s="444"/>
      <c r="H240" s="396"/>
      <c r="I240" s="15"/>
    </row>
    <row r="241" spans="1:9" ht="12.75" customHeight="1">
      <c r="A241" s="395"/>
      <c r="B241" s="396"/>
      <c r="C241" s="397"/>
      <c r="D241" s="398"/>
      <c r="E241" s="399"/>
      <c r="F241" s="400"/>
      <c r="G241" s="444"/>
      <c r="H241" s="396"/>
      <c r="I241" s="15"/>
    </row>
    <row r="242" spans="1:9" ht="12.75" customHeight="1">
      <c r="A242" s="395"/>
      <c r="B242" s="396"/>
      <c r="C242" s="397"/>
      <c r="D242" s="398"/>
      <c r="E242" s="399"/>
      <c r="F242" s="400"/>
      <c r="G242" s="444"/>
      <c r="H242" s="396"/>
      <c r="I242" s="15"/>
    </row>
    <row r="243" spans="1:9" ht="12.75" customHeight="1">
      <c r="A243" s="395"/>
      <c r="B243" s="396"/>
      <c r="C243" s="397"/>
      <c r="D243" s="398"/>
      <c r="E243" s="399"/>
      <c r="F243" s="400"/>
      <c r="G243" s="444"/>
      <c r="H243" s="396"/>
      <c r="I243" s="15"/>
    </row>
    <row r="244" spans="1:9" ht="12.75" customHeight="1">
      <c r="A244" s="395"/>
      <c r="B244" s="396"/>
      <c r="C244" s="397"/>
      <c r="D244" s="398"/>
      <c r="E244" s="399"/>
      <c r="F244" s="400"/>
      <c r="G244" s="444"/>
      <c r="H244" s="396"/>
      <c r="I244" s="15"/>
    </row>
    <row r="245" spans="1:9" ht="12.75" customHeight="1">
      <c r="A245" s="395"/>
      <c r="B245" s="396"/>
      <c r="C245" s="397"/>
      <c r="D245" s="398"/>
      <c r="E245" s="399"/>
      <c r="F245" s="400"/>
      <c r="G245" s="444"/>
      <c r="H245" s="396"/>
      <c r="I245" s="15"/>
    </row>
    <row r="246" spans="1:9" ht="12.75" customHeight="1">
      <c r="A246" s="395"/>
      <c r="B246" s="396"/>
      <c r="C246" s="397"/>
      <c r="D246" s="398"/>
      <c r="E246" s="399"/>
      <c r="F246" s="400"/>
      <c r="G246" s="444"/>
      <c r="H246" s="396"/>
      <c r="I246" s="15"/>
    </row>
    <row r="247" spans="1:9" ht="12.75" customHeight="1">
      <c r="A247" s="395"/>
      <c r="B247" s="396"/>
      <c r="C247" s="397"/>
      <c r="D247" s="398"/>
      <c r="E247" s="399"/>
      <c r="F247" s="400"/>
      <c r="G247" s="444"/>
      <c r="H247" s="396"/>
      <c r="I247" s="15"/>
    </row>
    <row r="248" spans="1:9" ht="12.75" customHeight="1">
      <c r="A248" s="395"/>
      <c r="B248" s="396"/>
      <c r="C248" s="397"/>
      <c r="D248" s="398"/>
      <c r="E248" s="399"/>
      <c r="F248" s="400"/>
      <c r="G248" s="444"/>
      <c r="H248" s="396"/>
      <c r="I248" s="15"/>
    </row>
    <row r="249" spans="1:9" ht="12.75" customHeight="1">
      <c r="A249" s="395"/>
      <c r="B249" s="396"/>
      <c r="C249" s="397"/>
      <c r="D249" s="398"/>
      <c r="E249" s="399"/>
      <c r="F249" s="400"/>
      <c r="G249" s="444"/>
      <c r="H249" s="396"/>
      <c r="I249" s="15"/>
    </row>
    <row r="250" spans="1:9" ht="12.75" customHeight="1">
      <c r="A250" s="395"/>
      <c r="B250" s="396"/>
      <c r="C250" s="397"/>
      <c r="D250" s="398"/>
      <c r="E250" s="399"/>
      <c r="F250" s="400"/>
      <c r="G250" s="444"/>
      <c r="H250" s="396"/>
      <c r="I250" s="15"/>
    </row>
    <row r="251" spans="1:9" ht="12.75" customHeight="1">
      <c r="A251" s="395"/>
      <c r="B251" s="396"/>
      <c r="C251" s="397"/>
      <c r="D251" s="398"/>
      <c r="E251" s="399"/>
      <c r="F251" s="400"/>
      <c r="G251" s="444"/>
      <c r="H251" s="396"/>
      <c r="I251" s="15"/>
    </row>
    <row r="252" spans="1:9" ht="12.75" customHeight="1">
      <c r="A252" s="395"/>
      <c r="B252" s="396"/>
      <c r="C252" s="397"/>
      <c r="D252" s="398"/>
      <c r="E252" s="399"/>
      <c r="F252" s="400"/>
      <c r="G252" s="444"/>
      <c r="H252" s="396"/>
      <c r="I252" s="15"/>
    </row>
    <row r="253" spans="1:9" ht="12.75" customHeight="1">
      <c r="A253" s="395"/>
      <c r="B253" s="396"/>
      <c r="C253" s="397"/>
      <c r="D253" s="398"/>
      <c r="E253" s="399"/>
      <c r="F253" s="400"/>
      <c r="G253" s="444"/>
      <c r="H253" s="396"/>
      <c r="I253" s="15"/>
    </row>
    <row r="254" spans="1:9" ht="12.75" customHeight="1">
      <c r="A254" s="395"/>
      <c r="B254" s="396"/>
      <c r="C254" s="397"/>
      <c r="D254" s="398"/>
      <c r="E254" s="399"/>
      <c r="F254" s="400"/>
      <c r="G254" s="444"/>
      <c r="H254" s="396"/>
      <c r="I254" s="15"/>
    </row>
    <row r="255" spans="1:9" ht="12.75" customHeight="1">
      <c r="A255" s="395"/>
      <c r="B255" s="396"/>
      <c r="C255" s="397"/>
      <c r="D255" s="398"/>
      <c r="E255" s="399"/>
      <c r="F255" s="400"/>
      <c r="G255" s="444"/>
      <c r="H255" s="396"/>
      <c r="I255" s="15"/>
    </row>
    <row r="256" spans="1:9" ht="12.75" customHeight="1">
      <c r="A256" s="395"/>
      <c r="B256" s="396"/>
      <c r="C256" s="397"/>
      <c r="D256" s="398"/>
      <c r="E256" s="399"/>
      <c r="F256" s="400"/>
      <c r="G256" s="444"/>
      <c r="H256" s="396"/>
      <c r="I256" s="15"/>
    </row>
    <row r="257" spans="1:9" ht="12.75" customHeight="1">
      <c r="A257" s="395"/>
      <c r="B257" s="396"/>
      <c r="C257" s="397"/>
      <c r="D257" s="398"/>
      <c r="E257" s="399"/>
      <c r="F257" s="400"/>
      <c r="G257" s="444"/>
      <c r="H257" s="396"/>
      <c r="I257" s="15"/>
    </row>
    <row r="258" spans="1:9" ht="12.75" customHeight="1">
      <c r="A258" s="395"/>
      <c r="B258" s="396"/>
      <c r="C258" s="397"/>
      <c r="D258" s="398"/>
      <c r="E258" s="397"/>
      <c r="F258" s="400"/>
      <c r="G258" s="444"/>
      <c r="H258" s="396"/>
      <c r="I258" s="15"/>
    </row>
    <row r="259" spans="1:9" ht="12.75" customHeight="1">
      <c r="A259" s="395"/>
      <c r="B259" s="406"/>
      <c r="C259" s="397"/>
      <c r="D259" s="398"/>
      <c r="E259" s="399"/>
      <c r="F259" s="400"/>
      <c r="G259" s="444"/>
      <c r="H259" s="396"/>
      <c r="I259" s="15"/>
    </row>
    <row r="260" spans="1:9" ht="12.75" customHeight="1">
      <c r="A260" s="395"/>
      <c r="B260" s="406"/>
      <c r="C260" s="407"/>
      <c r="D260" s="408"/>
      <c r="E260" s="409"/>
      <c r="F260" s="394"/>
      <c r="G260" s="444"/>
      <c r="H260" s="396"/>
      <c r="I260" s="15"/>
    </row>
    <row r="261" spans="1:9" ht="12.75" customHeight="1">
      <c r="A261" s="395"/>
      <c r="B261" s="406"/>
      <c r="C261" s="407"/>
      <c r="D261" s="408"/>
      <c r="E261" s="409"/>
      <c r="F261" s="394"/>
      <c r="G261" s="444"/>
      <c r="H261" s="396"/>
      <c r="I261" s="15"/>
    </row>
    <row r="262" spans="1:9" ht="12.75" customHeight="1">
      <c r="A262" s="405"/>
      <c r="B262" s="406"/>
      <c r="C262" s="407"/>
      <c r="D262" s="408"/>
      <c r="E262" s="409"/>
      <c r="F262" s="394"/>
      <c r="G262" s="444"/>
      <c r="H262" s="396"/>
      <c r="I262" s="15"/>
    </row>
    <row r="263" spans="1:9" ht="12.75" customHeight="1">
      <c r="A263" s="405"/>
      <c r="B263" s="406"/>
      <c r="C263" s="407"/>
      <c r="D263" s="408"/>
      <c r="E263" s="409"/>
      <c r="F263" s="394"/>
      <c r="G263" s="444"/>
      <c r="H263" s="396"/>
      <c r="I263" s="15"/>
    </row>
    <row r="264" spans="1:9" ht="12.75" customHeight="1">
      <c r="A264" s="395"/>
      <c r="B264" s="396"/>
      <c r="C264" s="397"/>
      <c r="D264" s="398"/>
      <c r="E264" s="399"/>
      <c r="F264" s="400"/>
      <c r="G264" s="444"/>
      <c r="H264" s="396"/>
      <c r="I264" s="15"/>
    </row>
    <row r="265" spans="1:9" ht="12.75" customHeight="1">
      <c r="A265" s="395"/>
      <c r="B265" s="396"/>
      <c r="C265" s="397"/>
      <c r="D265" s="398"/>
      <c r="E265" s="399"/>
      <c r="F265" s="400"/>
      <c r="G265" s="444"/>
      <c r="H265" s="396"/>
      <c r="I265" s="15"/>
    </row>
    <row r="266" spans="1:9" ht="12.75" customHeight="1">
      <c r="A266" s="395"/>
      <c r="B266" s="406"/>
      <c r="C266" s="397"/>
      <c r="D266" s="398"/>
      <c r="E266" s="409"/>
      <c r="F266" s="394"/>
      <c r="G266" s="444"/>
      <c r="H266" s="396"/>
      <c r="I266" s="15"/>
    </row>
    <row r="267" spans="1:9" ht="12.75" customHeight="1">
      <c r="A267" s="395"/>
      <c r="B267" s="406"/>
      <c r="C267" s="407"/>
      <c r="D267" s="408"/>
      <c r="E267" s="409"/>
      <c r="F267" s="394"/>
      <c r="G267" s="444"/>
      <c r="H267" s="396"/>
      <c r="I267" s="15"/>
    </row>
    <row r="268" spans="1:9" ht="12.75" customHeight="1">
      <c r="A268" s="405"/>
      <c r="B268" s="396"/>
      <c r="C268" s="401"/>
      <c r="D268" s="402"/>
      <c r="E268" s="403"/>
      <c r="F268" s="404"/>
      <c r="G268" s="444"/>
      <c r="H268" s="396"/>
      <c r="I268" s="15"/>
    </row>
    <row r="269" spans="1:9" ht="12.75" customHeight="1">
      <c r="A269" s="405"/>
      <c r="B269" s="406"/>
      <c r="C269" s="407"/>
      <c r="D269" s="408"/>
      <c r="E269" s="409"/>
      <c r="F269" s="394"/>
      <c r="G269" s="444"/>
      <c r="H269" s="396"/>
      <c r="I269" s="15"/>
    </row>
    <row r="270" spans="1:9" ht="12.75" customHeight="1">
      <c r="A270" s="395"/>
      <c r="B270" s="406"/>
      <c r="C270" s="397"/>
      <c r="D270" s="398"/>
      <c r="E270" s="399"/>
      <c r="F270" s="400"/>
      <c r="G270" s="444"/>
      <c r="H270" s="399"/>
      <c r="I270" s="15"/>
    </row>
    <row r="271" spans="1:9" ht="12.75" customHeight="1">
      <c r="A271" s="395"/>
      <c r="B271" s="441"/>
      <c r="C271" s="399"/>
      <c r="D271" s="400"/>
      <c r="E271" s="403"/>
      <c r="F271" s="404"/>
      <c r="G271" s="414"/>
      <c r="H271" s="399"/>
      <c r="I271" s="15"/>
    </row>
    <row r="272" spans="1:9" ht="12.75" customHeight="1">
      <c r="A272" s="395"/>
      <c r="B272" s="441"/>
      <c r="C272" s="409"/>
      <c r="D272" s="394"/>
      <c r="E272" s="409"/>
      <c r="F272" s="394"/>
      <c r="G272" s="414"/>
      <c r="H272" s="399"/>
      <c r="I272" s="15"/>
    </row>
    <row r="273" spans="1:9" ht="12.75" customHeight="1">
      <c r="A273" s="405"/>
      <c r="B273" s="441"/>
      <c r="C273" s="409"/>
      <c r="D273" s="394"/>
      <c r="E273" s="451"/>
      <c r="F273" s="425"/>
      <c r="G273" s="396"/>
      <c r="H273" s="414"/>
      <c r="I273" s="15"/>
    </row>
    <row r="274" spans="1:9" ht="12.75" customHeight="1">
      <c r="A274" s="405"/>
      <c r="B274" s="441"/>
      <c r="C274" s="409"/>
      <c r="D274" s="394"/>
      <c r="E274" s="424"/>
      <c r="F274" s="425"/>
      <c r="G274" s="414"/>
      <c r="H274" s="399"/>
      <c r="I274" s="15"/>
    </row>
    <row r="275" spans="1:9" ht="12.75" customHeight="1">
      <c r="A275" s="454"/>
      <c r="B275" s="481"/>
      <c r="C275" s="482"/>
      <c r="D275" s="483"/>
      <c r="E275" s="484"/>
      <c r="F275" s="485"/>
      <c r="G275" s="445"/>
      <c r="H275" s="442"/>
      <c r="I275" s="15"/>
    </row>
    <row r="276" spans="1:9" ht="12.75" customHeight="1">
      <c r="A276" s="454"/>
      <c r="B276" s="443"/>
      <c r="C276" s="482"/>
      <c r="D276" s="483"/>
      <c r="E276" s="452"/>
      <c r="F276" s="453"/>
      <c r="G276" s="446"/>
      <c r="H276" s="447"/>
      <c r="I276" s="15"/>
    </row>
    <row r="277" spans="1:9" ht="12.75" customHeight="1">
      <c r="A277" s="395"/>
      <c r="B277" s="442"/>
      <c r="C277" s="403"/>
      <c r="D277" s="404"/>
      <c r="E277" s="486"/>
      <c r="F277" s="471"/>
      <c r="G277" s="56"/>
      <c r="H277" s="448"/>
      <c r="I277" s="15"/>
    </row>
    <row r="278" spans="1:9" ht="12.75" customHeight="1">
      <c r="A278" s="434"/>
      <c r="B278" s="455"/>
      <c r="C278" s="456"/>
      <c r="D278" s="457"/>
      <c r="E278" s="455"/>
      <c r="F278" s="487"/>
      <c r="G278" s="457"/>
      <c r="H278" s="458"/>
      <c r="I278" s="15"/>
    </row>
    <row r="279" spans="1:9" ht="12.75" customHeight="1">
      <c r="A279" s="434"/>
      <c r="B279" s="462"/>
      <c r="C279" s="492"/>
      <c r="D279" s="460"/>
      <c r="E279" s="493"/>
      <c r="F279" s="461"/>
      <c r="G279" s="449"/>
      <c r="H279" s="450"/>
      <c r="I279" s="15"/>
    </row>
    <row r="280" spans="1:9" ht="12.75" customHeight="1">
      <c r="A280" s="395"/>
      <c r="B280" s="494"/>
      <c r="C280" s="473"/>
      <c r="D280" s="495"/>
      <c r="E280" s="494"/>
      <c r="F280" s="473"/>
      <c r="G280" s="496"/>
      <c r="H280" s="497"/>
      <c r="I280" s="15"/>
    </row>
    <row r="281" spans="1:9" ht="12.75" customHeight="1">
      <c r="A281" s="395"/>
      <c r="B281" s="488"/>
      <c r="C281" s="489"/>
      <c r="D281" s="490"/>
      <c r="E281" s="419"/>
      <c r="F281" s="415"/>
      <c r="G281" s="444"/>
      <c r="H281" s="491"/>
      <c r="I281" s="15"/>
    </row>
    <row r="282" spans="1:9" ht="12.75" customHeight="1">
      <c r="A282" s="395"/>
      <c r="B282" s="406"/>
      <c r="C282" s="463"/>
      <c r="D282" s="408"/>
      <c r="E282" s="409"/>
      <c r="F282" s="424"/>
      <c r="G282" s="459"/>
      <c r="H282" s="472"/>
      <c r="I282" s="15"/>
    </row>
    <row r="283" spans="1:9" ht="12.75" customHeight="1">
      <c r="A283" s="395"/>
      <c r="B283" s="406"/>
      <c r="C283" s="463"/>
      <c r="D283" s="408"/>
      <c r="E283" s="409"/>
      <c r="F283" s="424"/>
      <c r="G283" s="459"/>
      <c r="H283" s="472"/>
      <c r="I283" s="15"/>
    </row>
    <row r="284" spans="1:9" ht="12.75" customHeight="1">
      <c r="A284" s="395"/>
      <c r="B284" s="396"/>
      <c r="C284" s="397"/>
      <c r="D284" s="398"/>
      <c r="E284" s="399"/>
      <c r="F284" s="400"/>
      <c r="G284" s="382"/>
      <c r="H284" s="380"/>
      <c r="I284" s="15"/>
    </row>
    <row r="285" spans="1:9" ht="12.75" customHeight="1">
      <c r="A285" s="395"/>
      <c r="B285" s="396"/>
      <c r="C285" s="397"/>
      <c r="D285" s="398"/>
      <c r="E285" s="399"/>
      <c r="F285" s="400"/>
      <c r="G285" s="382"/>
      <c r="H285" s="380"/>
      <c r="I285" s="15"/>
    </row>
    <row r="286" spans="1:9" ht="12.75" customHeight="1">
      <c r="A286" s="395"/>
      <c r="B286" s="396"/>
      <c r="C286" s="397"/>
      <c r="D286" s="398"/>
      <c r="E286" s="399"/>
      <c r="F286" s="400"/>
      <c r="G286" s="382"/>
      <c r="H286" s="380"/>
      <c r="I286" s="15"/>
    </row>
    <row r="287" spans="1:9" ht="12.75" customHeight="1">
      <c r="A287" s="395"/>
      <c r="B287" s="396"/>
      <c r="C287" s="397"/>
      <c r="D287" s="398"/>
      <c r="E287" s="399"/>
      <c r="F287" s="400"/>
      <c r="G287" s="382"/>
      <c r="H287" s="380"/>
      <c r="I287" s="15"/>
    </row>
    <row r="288" spans="1:9" ht="12.75" customHeight="1">
      <c r="A288" s="395"/>
      <c r="B288" s="396"/>
      <c r="C288" s="397"/>
      <c r="D288" s="398"/>
      <c r="E288" s="399"/>
      <c r="F288" s="400"/>
      <c r="G288" s="382"/>
      <c r="H288" s="380"/>
      <c r="I288" s="15"/>
    </row>
    <row r="289" spans="1:9" ht="12.75" customHeight="1">
      <c r="A289" s="395"/>
      <c r="B289" s="396"/>
      <c r="C289" s="397"/>
      <c r="D289" s="398"/>
      <c r="E289" s="399"/>
      <c r="F289" s="400"/>
      <c r="G289" s="382"/>
      <c r="H289" s="380"/>
      <c r="I289" s="15"/>
    </row>
    <row r="290" spans="1:9" ht="12.75" customHeight="1">
      <c r="A290" s="395"/>
      <c r="B290" s="396"/>
      <c r="C290" s="397"/>
      <c r="D290" s="398"/>
      <c r="E290" s="399"/>
      <c r="F290" s="400"/>
      <c r="G290" s="382"/>
      <c r="H290" s="380"/>
      <c r="I290" s="15"/>
    </row>
    <row r="291" spans="1:9" ht="12.75" customHeight="1">
      <c r="A291" s="395"/>
      <c r="B291" s="396"/>
      <c r="C291" s="397"/>
      <c r="D291" s="398"/>
      <c r="E291" s="399"/>
      <c r="F291" s="400"/>
      <c r="G291" s="382"/>
      <c r="H291" s="380"/>
      <c r="I291" s="15"/>
    </row>
    <row r="292" spans="1:9" ht="12.75" customHeight="1">
      <c r="A292" s="395"/>
      <c r="B292" s="396"/>
      <c r="C292" s="397"/>
      <c r="D292" s="398"/>
      <c r="E292" s="399"/>
      <c r="F292" s="400"/>
      <c r="G292" s="382"/>
      <c r="H292" s="380"/>
      <c r="I292" s="15"/>
    </row>
    <row r="293" spans="1:9" ht="12.75" customHeight="1">
      <c r="A293" s="395"/>
      <c r="B293" s="396"/>
      <c r="C293" s="397"/>
      <c r="D293" s="398"/>
      <c r="E293" s="399"/>
      <c r="F293" s="400"/>
      <c r="G293" s="382"/>
      <c r="H293" s="380"/>
      <c r="I293" s="15"/>
    </row>
    <row r="294" spans="1:9" ht="12.75" customHeight="1">
      <c r="A294" s="395"/>
      <c r="B294" s="396"/>
      <c r="C294" s="397"/>
      <c r="D294" s="398"/>
      <c r="E294" s="399"/>
      <c r="F294" s="400"/>
      <c r="G294" s="382"/>
      <c r="H294" s="380"/>
      <c r="I294" s="15"/>
    </row>
    <row r="295" spans="1:9" ht="12.75" customHeight="1">
      <c r="A295" s="395"/>
      <c r="B295" s="396"/>
      <c r="C295" s="397"/>
      <c r="D295" s="398"/>
      <c r="E295" s="399"/>
      <c r="F295" s="400"/>
      <c r="G295" s="382"/>
      <c r="H295" s="380"/>
      <c r="I295" s="15"/>
    </row>
    <row r="296" spans="1:9" ht="12.75" customHeight="1">
      <c r="A296" s="395"/>
      <c r="B296" s="396"/>
      <c r="C296" s="397"/>
      <c r="D296" s="398"/>
      <c r="E296" s="399"/>
      <c r="F296" s="400"/>
      <c r="G296" s="382"/>
      <c r="H296" s="380"/>
      <c r="I296" s="15"/>
    </row>
    <row r="297" spans="1:9" ht="12.75" customHeight="1">
      <c r="A297" s="395"/>
      <c r="B297" s="396"/>
      <c r="C297" s="397"/>
      <c r="D297" s="398"/>
      <c r="E297" s="399"/>
      <c r="F297" s="400"/>
      <c r="G297" s="382"/>
      <c r="H297" s="380"/>
      <c r="I297" s="15"/>
    </row>
    <row r="298" spans="1:9" ht="12.75" customHeight="1">
      <c r="A298" s="395"/>
      <c r="B298" s="396"/>
      <c r="C298" s="397"/>
      <c r="D298" s="398"/>
      <c r="E298" s="399"/>
      <c r="F298" s="400"/>
      <c r="G298" s="382"/>
      <c r="H298" s="380"/>
      <c r="I298" s="15"/>
    </row>
    <row r="299" spans="1:9" ht="12.75" customHeight="1">
      <c r="A299" s="395"/>
      <c r="B299" s="396"/>
      <c r="C299" s="397"/>
      <c r="D299" s="398"/>
      <c r="E299" s="399"/>
      <c r="F299" s="400"/>
      <c r="G299" s="382"/>
      <c r="H299" s="380"/>
      <c r="I299" s="15"/>
    </row>
    <row r="300" spans="1:9" ht="12.75" customHeight="1">
      <c r="A300" s="395"/>
      <c r="B300" s="396"/>
      <c r="C300" s="397"/>
      <c r="D300" s="398"/>
      <c r="E300" s="399"/>
      <c r="F300" s="400"/>
      <c r="G300" s="382"/>
      <c r="H300" s="380"/>
      <c r="I300" s="15"/>
    </row>
    <row r="301" spans="1:9" ht="12.75" customHeight="1">
      <c r="A301" s="395"/>
      <c r="B301" s="396"/>
      <c r="C301" s="397"/>
      <c r="D301" s="398"/>
      <c r="E301" s="399"/>
      <c r="F301" s="400"/>
      <c r="G301" s="382"/>
      <c r="H301" s="380"/>
      <c r="I301" s="15"/>
    </row>
    <row r="302" spans="1:9" ht="12.75" customHeight="1">
      <c r="A302" s="395"/>
      <c r="B302" s="396"/>
      <c r="C302" s="397"/>
      <c r="D302" s="398"/>
      <c r="E302" s="399"/>
      <c r="F302" s="400"/>
      <c r="G302" s="382"/>
      <c r="H302" s="380"/>
      <c r="I302" s="15"/>
    </row>
    <row r="303" spans="1:9" ht="12.75" customHeight="1">
      <c r="A303" s="395"/>
      <c r="B303" s="396"/>
      <c r="C303" s="397"/>
      <c r="D303" s="398"/>
      <c r="E303" s="399"/>
      <c r="F303" s="400"/>
      <c r="G303" s="382"/>
      <c r="H303" s="380"/>
      <c r="I303" s="15"/>
    </row>
    <row r="304" spans="1:9" ht="12.75" customHeight="1">
      <c r="A304" s="395"/>
      <c r="B304" s="396"/>
      <c r="C304" s="397"/>
      <c r="D304" s="398"/>
      <c r="E304" s="399"/>
      <c r="F304" s="400"/>
      <c r="G304" s="382"/>
      <c r="H304" s="380"/>
      <c r="I304" s="15"/>
    </row>
    <row r="305" spans="1:9" ht="12.75" customHeight="1">
      <c r="A305" s="395"/>
      <c r="B305" s="396"/>
      <c r="C305" s="397"/>
      <c r="D305" s="398"/>
      <c r="E305" s="399"/>
      <c r="F305" s="400"/>
      <c r="G305" s="382"/>
      <c r="H305" s="380"/>
      <c r="I305" s="15"/>
    </row>
    <row r="306" spans="1:9" ht="12.75" customHeight="1">
      <c r="A306" s="395"/>
      <c r="B306" s="396"/>
      <c r="C306" s="397"/>
      <c r="D306" s="398"/>
      <c r="E306" s="399"/>
      <c r="F306" s="400"/>
      <c r="G306" s="382"/>
      <c r="H306" s="380"/>
      <c r="I306" s="15"/>
    </row>
    <row r="307" spans="1:9" ht="12.75" customHeight="1">
      <c r="A307" s="395"/>
      <c r="B307" s="396"/>
      <c r="C307" s="397"/>
      <c r="D307" s="398"/>
      <c r="E307" s="399"/>
      <c r="F307" s="400"/>
      <c r="G307" s="382"/>
      <c r="H307" s="380"/>
      <c r="I307" s="15"/>
    </row>
    <row r="308" spans="1:9" ht="12.75" customHeight="1">
      <c r="A308" s="395"/>
      <c r="B308" s="396"/>
      <c r="C308" s="397"/>
      <c r="D308" s="398"/>
      <c r="E308" s="399"/>
      <c r="F308" s="400"/>
      <c r="G308" s="382"/>
      <c r="H308" s="380"/>
      <c r="I308" s="15"/>
    </row>
    <row r="309" spans="1:9" ht="12.75" customHeight="1">
      <c r="A309" s="395"/>
      <c r="B309" s="396"/>
      <c r="C309" s="397"/>
      <c r="D309" s="398"/>
      <c r="E309" s="399"/>
      <c r="F309" s="400"/>
      <c r="G309" s="382"/>
      <c r="H309" s="380"/>
      <c r="I309" s="15"/>
    </row>
    <row r="310" spans="1:9" ht="12.75" customHeight="1">
      <c r="A310" s="395"/>
      <c r="B310" s="396"/>
      <c r="C310" s="397"/>
      <c r="D310" s="398"/>
      <c r="E310" s="399"/>
      <c r="F310" s="400"/>
      <c r="G310" s="382"/>
      <c r="H310" s="380"/>
      <c r="I310" s="15"/>
    </row>
    <row r="311" spans="1:9" ht="12.75" customHeight="1">
      <c r="A311" s="395"/>
      <c r="B311" s="396"/>
      <c r="C311" s="397"/>
      <c r="D311" s="398"/>
      <c r="E311" s="399"/>
      <c r="F311" s="400"/>
      <c r="G311" s="382"/>
      <c r="H311" s="380"/>
      <c r="I311" s="15"/>
    </row>
    <row r="312" spans="1:9" ht="12.75" customHeight="1">
      <c r="A312" s="395"/>
      <c r="B312" s="396"/>
      <c r="C312" s="397"/>
      <c r="D312" s="398"/>
      <c r="E312" s="399"/>
      <c r="F312" s="400"/>
      <c r="G312" s="382"/>
      <c r="H312" s="380"/>
      <c r="I312" s="15"/>
    </row>
    <row r="313" spans="1:9" ht="12.75" customHeight="1">
      <c r="A313" s="395"/>
      <c r="B313" s="396"/>
      <c r="C313" s="397"/>
      <c r="D313" s="398"/>
      <c r="E313" s="399"/>
      <c r="F313" s="400"/>
      <c r="G313" s="382"/>
      <c r="H313" s="380"/>
      <c r="I313" s="15"/>
    </row>
    <row r="314" spans="1:9" ht="12.75" customHeight="1">
      <c r="A314" s="395"/>
      <c r="B314" s="396"/>
      <c r="C314" s="397"/>
      <c r="D314" s="398"/>
      <c r="E314" s="399"/>
      <c r="F314" s="400"/>
      <c r="G314" s="382"/>
      <c r="H314" s="380"/>
      <c r="I314" s="15"/>
    </row>
    <row r="315" spans="1:9" ht="12.75" customHeight="1">
      <c r="A315" s="395"/>
      <c r="B315" s="396"/>
      <c r="C315" s="397"/>
      <c r="D315" s="398"/>
      <c r="E315" s="399"/>
      <c r="F315" s="400"/>
      <c r="G315" s="382"/>
      <c r="H315" s="380"/>
      <c r="I315" s="15"/>
    </row>
    <row r="316" spans="1:9" ht="12.75" customHeight="1">
      <c r="A316" s="395"/>
      <c r="B316" s="396"/>
      <c r="C316" s="397"/>
      <c r="D316" s="398"/>
      <c r="E316" s="399"/>
      <c r="F316" s="400"/>
      <c r="G316" s="382"/>
      <c r="H316" s="380"/>
      <c r="I316" s="15"/>
    </row>
    <row r="317" spans="1:9" ht="12.75" customHeight="1">
      <c r="A317" s="395"/>
      <c r="B317" s="396"/>
      <c r="C317" s="397"/>
      <c r="D317" s="398"/>
      <c r="E317" s="399"/>
      <c r="F317" s="400"/>
      <c r="G317" s="382"/>
      <c r="H317" s="380"/>
      <c r="I317" s="15"/>
    </row>
    <row r="318" spans="1:9" ht="12.75" customHeight="1">
      <c r="A318" s="395"/>
      <c r="B318" s="396"/>
      <c r="C318" s="397"/>
      <c r="D318" s="398"/>
      <c r="E318" s="399"/>
      <c r="F318" s="400"/>
      <c r="G318" s="382"/>
      <c r="H318" s="380"/>
      <c r="I318" s="15"/>
    </row>
    <row r="319" spans="1:9" ht="12.75" customHeight="1">
      <c r="A319" s="395"/>
      <c r="B319" s="396"/>
      <c r="C319" s="397"/>
      <c r="D319" s="398"/>
      <c r="E319" s="399"/>
      <c r="F319" s="400"/>
      <c r="G319" s="382"/>
      <c r="H319" s="380"/>
      <c r="I319" s="15"/>
    </row>
    <row r="320" spans="1:9" ht="12.75" customHeight="1">
      <c r="A320" s="395"/>
      <c r="B320" s="396"/>
      <c r="C320" s="401"/>
      <c r="D320" s="402"/>
      <c r="E320" s="403"/>
      <c r="F320" s="404"/>
      <c r="G320" s="382"/>
      <c r="H320" s="380"/>
      <c r="I320" s="15"/>
    </row>
    <row r="321" spans="1:9" ht="12.75" customHeight="1">
      <c r="A321" s="395"/>
      <c r="B321" s="396"/>
      <c r="C321" s="401"/>
      <c r="D321" s="402"/>
      <c r="E321" s="401"/>
      <c r="F321" s="404"/>
      <c r="G321" s="382"/>
      <c r="H321" s="380"/>
      <c r="I321" s="15"/>
    </row>
    <row r="322" spans="1:9" ht="12.75" customHeight="1">
      <c r="A322" s="405"/>
      <c r="B322" s="406"/>
      <c r="C322" s="407"/>
      <c r="D322" s="408"/>
      <c r="E322" s="409"/>
      <c r="F322" s="394"/>
      <c r="G322" s="382"/>
      <c r="H322" s="380"/>
      <c r="I322" s="15"/>
    </row>
    <row r="323" spans="1:9" ht="12.75" customHeight="1">
      <c r="A323" s="395"/>
      <c r="B323" s="396"/>
      <c r="C323" s="397"/>
      <c r="D323" s="398"/>
      <c r="E323" s="399"/>
      <c r="F323" s="400"/>
      <c r="G323" s="382"/>
      <c r="H323" s="380"/>
      <c r="I323" s="15"/>
    </row>
    <row r="324" spans="1:9" ht="12.75" customHeight="1">
      <c r="A324" s="395"/>
      <c r="B324" s="396"/>
      <c r="C324" s="397"/>
      <c r="D324" s="398"/>
      <c r="E324" s="399"/>
      <c r="F324" s="400"/>
      <c r="G324" s="382"/>
      <c r="H324" s="380"/>
      <c r="I324" s="15"/>
    </row>
    <row r="325" spans="1:9" ht="12.75" customHeight="1">
      <c r="A325" s="395"/>
      <c r="B325" s="396"/>
      <c r="C325" s="397"/>
      <c r="D325" s="398"/>
      <c r="E325" s="403"/>
      <c r="F325" s="404"/>
      <c r="G325" s="382"/>
      <c r="H325" s="380"/>
      <c r="I325" s="15"/>
    </row>
    <row r="326" spans="1:9" ht="12.75" customHeight="1">
      <c r="A326" s="395"/>
      <c r="B326" s="396"/>
      <c r="C326" s="401"/>
      <c r="D326" s="402"/>
      <c r="E326" s="403"/>
      <c r="F326" s="404"/>
      <c r="G326" s="382"/>
      <c r="H326" s="380"/>
      <c r="I326" s="15"/>
    </row>
    <row r="327" spans="1:9" ht="12.75" customHeight="1">
      <c r="A327" s="395"/>
      <c r="B327" s="396"/>
      <c r="C327" s="401"/>
      <c r="D327" s="402"/>
      <c r="E327" s="403"/>
      <c r="F327" s="404"/>
      <c r="G327" s="382"/>
      <c r="H327" s="380"/>
      <c r="I327" s="15"/>
    </row>
    <row r="328" spans="1:9" ht="12.75" customHeight="1">
      <c r="A328" s="395"/>
      <c r="B328" s="396"/>
      <c r="C328" s="407"/>
      <c r="D328" s="408"/>
      <c r="E328" s="409"/>
      <c r="F328" s="394"/>
      <c r="G328" s="382"/>
      <c r="H328" s="380"/>
      <c r="I328" s="15"/>
    </row>
    <row r="329" spans="1:9" ht="12.75" customHeight="1">
      <c r="A329" s="395"/>
      <c r="B329" s="396"/>
      <c r="C329" s="397"/>
      <c r="D329" s="398"/>
      <c r="E329" s="399"/>
      <c r="F329" s="400"/>
      <c r="G329" s="382"/>
      <c r="H329" s="380"/>
      <c r="I329" s="15"/>
    </row>
    <row r="330" spans="1:9" ht="12.75" customHeight="1">
      <c r="A330" s="395"/>
      <c r="B330" s="396"/>
      <c r="C330" s="397"/>
      <c r="D330" s="398"/>
      <c r="E330" s="403"/>
      <c r="F330" s="404"/>
      <c r="G330" s="382"/>
      <c r="H330" s="380"/>
      <c r="I330" s="15"/>
    </row>
    <row r="331" spans="1:9" ht="12.75" customHeight="1">
      <c r="A331" s="395"/>
      <c r="B331" s="396"/>
      <c r="C331" s="401"/>
      <c r="D331" s="402"/>
      <c r="E331" s="403"/>
      <c r="F331" s="404"/>
      <c r="G331" s="382"/>
      <c r="H331" s="380"/>
      <c r="I331" s="15"/>
    </row>
    <row r="332" spans="1:9" ht="12.75" customHeight="1">
      <c r="A332" s="395"/>
      <c r="B332" s="396"/>
      <c r="C332" s="401"/>
      <c r="D332" s="402"/>
      <c r="E332" s="410"/>
      <c r="F332" s="411"/>
      <c r="G332" s="382"/>
      <c r="H332" s="380"/>
      <c r="I332" s="15"/>
    </row>
    <row r="333" spans="1:9" ht="12.75" customHeight="1">
      <c r="A333" s="405"/>
      <c r="B333" s="406"/>
      <c r="C333" s="407"/>
      <c r="D333" s="408"/>
      <c r="E333" s="409"/>
      <c r="F333" s="394"/>
      <c r="G333" s="412"/>
      <c r="H333" s="413"/>
      <c r="I333" s="15"/>
    </row>
    <row r="334" spans="1:9" ht="12.75" customHeight="1">
      <c r="A334" s="395"/>
      <c r="B334" s="414"/>
      <c r="C334" s="399"/>
      <c r="D334" s="400"/>
      <c r="E334" s="415"/>
      <c r="F334" s="416"/>
      <c r="G334" s="417"/>
      <c r="H334" s="413"/>
      <c r="I334" s="15"/>
    </row>
    <row r="335" spans="1:9" ht="12.75" customHeight="1">
      <c r="A335" s="395"/>
      <c r="B335" s="414"/>
      <c r="C335" s="399"/>
      <c r="D335" s="400"/>
      <c r="E335" s="410"/>
      <c r="F335" s="411"/>
      <c r="G335" s="417"/>
      <c r="H335" s="413"/>
      <c r="I335" s="15"/>
    </row>
    <row r="336" spans="1:9" ht="12.75" customHeight="1">
      <c r="A336" s="395"/>
      <c r="B336" s="414"/>
      <c r="C336" s="403"/>
      <c r="D336" s="404"/>
      <c r="E336" s="418"/>
      <c r="F336" s="404"/>
      <c r="G336" s="41"/>
      <c r="H336" s="414"/>
      <c r="I336" s="15"/>
    </row>
    <row r="337" spans="1:9" ht="12.75" customHeight="1">
      <c r="A337" s="395"/>
      <c r="B337" s="414"/>
      <c r="C337" s="403"/>
      <c r="D337" s="404"/>
      <c r="E337" s="410"/>
      <c r="F337" s="404"/>
      <c r="G337" s="417"/>
      <c r="H337" s="413"/>
      <c r="I337" s="15"/>
    </row>
    <row r="338" spans="1:9" ht="12.75" customHeight="1">
      <c r="A338" s="395"/>
      <c r="B338" s="419"/>
      <c r="C338" s="410"/>
      <c r="D338" s="416"/>
      <c r="E338" s="420"/>
      <c r="F338" s="415"/>
      <c r="G338" s="421"/>
      <c r="H338" s="422"/>
      <c r="I338" s="15"/>
    </row>
    <row r="339" spans="1:9" ht="12.75" customHeight="1">
      <c r="A339" s="405"/>
      <c r="B339" s="423"/>
      <c r="C339" s="424"/>
      <c r="D339" s="425"/>
      <c r="E339" s="423"/>
      <c r="F339" s="424"/>
      <c r="G339" s="426"/>
      <c r="H339" s="427"/>
      <c r="I339" s="15"/>
    </row>
    <row r="340" spans="1:9" ht="12.75" customHeight="1">
      <c r="A340" s="389"/>
      <c r="B340" s="428"/>
      <c r="C340" s="429"/>
      <c r="D340" s="416"/>
      <c r="E340" s="430"/>
      <c r="F340" s="431"/>
      <c r="G340" s="432"/>
      <c r="H340" s="433"/>
      <c r="I340" s="434"/>
    </row>
    <row r="341" spans="1:9" ht="12.75" customHeight="1">
      <c r="A341" s="435"/>
      <c r="B341" s="436"/>
      <c r="C341" s="437"/>
      <c r="D341" s="438"/>
      <c r="E341" s="437"/>
      <c r="F341" s="438"/>
      <c r="G341" s="438"/>
      <c r="H341" s="439"/>
      <c r="I341" s="440"/>
    </row>
    <row r="342" spans="1:9" ht="12.75" customHeight="1">
      <c r="A342" s="435"/>
      <c r="B342" s="436"/>
      <c r="C342" s="437"/>
      <c r="D342" s="438"/>
      <c r="E342" s="437"/>
      <c r="F342" s="438"/>
      <c r="G342" s="438"/>
      <c r="H342" s="439"/>
      <c r="I342" s="440"/>
    </row>
    <row r="343" ht="12.75" customHeight="1">
      <c r="I343" s="377"/>
    </row>
    <row r="344" ht="12.75" customHeight="1">
      <c r="I344" s="377"/>
    </row>
  </sheetData>
  <sheetProtection/>
  <mergeCells count="1">
    <mergeCell ref="C7:D7"/>
  </mergeCells>
  <printOptions/>
  <pageMargins left="0.67" right="0.2" top="0.25" bottom="0.25" header="0.34" footer="0.3"/>
  <pageSetup horizontalDpi="600" verticalDpi="600" orientation="portrait" paperSize="5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4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6.7109375" style="4" customWidth="1"/>
    <col min="2" max="2" width="7.57421875" style="4" customWidth="1"/>
    <col min="3" max="3" width="12.57421875" style="6" customWidth="1"/>
    <col min="4" max="4" width="12.7109375" style="5" customWidth="1"/>
    <col min="5" max="5" width="15.00390625" style="6" customWidth="1"/>
    <col min="6" max="6" width="14.421875" style="5" customWidth="1"/>
    <col min="7" max="7" width="9.8515625" style="5" customWidth="1"/>
    <col min="8" max="8" width="9.57421875" style="5" customWidth="1"/>
    <col min="9" max="9" width="9.28125" style="3" customWidth="1"/>
    <col min="10" max="10" width="21.28125" style="378" bestFit="1" customWidth="1"/>
    <col min="11" max="16384" width="9.140625" style="378" customWidth="1"/>
  </cols>
  <sheetData>
    <row r="1" spans="1:9" ht="12.75" customHeight="1">
      <c r="A1" s="380"/>
      <c r="B1" s="380"/>
      <c r="C1" s="381" t="s">
        <v>3</v>
      </c>
      <c r="D1" s="382"/>
      <c r="E1" s="383"/>
      <c r="F1" s="384"/>
      <c r="G1" s="382"/>
      <c r="H1" s="380"/>
      <c r="I1" s="15"/>
    </row>
    <row r="2" spans="1:9" ht="12.75" customHeight="1">
      <c r="A2" s="380"/>
      <c r="B2" s="380"/>
      <c r="C2" s="381" t="s">
        <v>4</v>
      </c>
      <c r="D2" s="385"/>
      <c r="E2" s="381"/>
      <c r="F2" s="384"/>
      <c r="G2" s="382"/>
      <c r="H2" s="380"/>
      <c r="I2" s="15"/>
    </row>
    <row r="3" spans="1:9" ht="12.75" customHeight="1">
      <c r="A3" s="380"/>
      <c r="B3" s="380"/>
      <c r="C3" s="381" t="s">
        <v>33</v>
      </c>
      <c r="D3" s="385"/>
      <c r="E3" s="381"/>
      <c r="F3" s="384"/>
      <c r="G3" s="382"/>
      <c r="H3" s="380"/>
      <c r="I3" s="15"/>
    </row>
    <row r="4" spans="1:9" ht="12.75" customHeight="1">
      <c r="A4" s="386"/>
      <c r="B4" s="380"/>
      <c r="C4" s="381" t="s">
        <v>31</v>
      </c>
      <c r="D4" s="385"/>
      <c r="E4" s="381"/>
      <c r="F4" s="384"/>
      <c r="G4" s="387"/>
      <c r="H4" s="380"/>
      <c r="I4" s="15"/>
    </row>
    <row r="5" spans="1:9" ht="12.75" customHeight="1">
      <c r="A5" s="380"/>
      <c r="B5" s="386"/>
      <c r="C5" s="388"/>
      <c r="D5" s="387"/>
      <c r="E5" s="383" t="s">
        <v>1555</v>
      </c>
      <c r="F5" s="384"/>
      <c r="G5" s="387"/>
      <c r="H5" s="380"/>
      <c r="I5" s="15"/>
    </row>
    <row r="6" spans="1:9" ht="12.75" customHeight="1">
      <c r="A6" s="389" t="s">
        <v>39</v>
      </c>
      <c r="B6" s="386"/>
      <c r="C6" s="388"/>
      <c r="D6" s="387"/>
      <c r="E6" s="388"/>
      <c r="F6" s="384"/>
      <c r="G6" s="387"/>
      <c r="H6" s="380"/>
      <c r="I6" s="15"/>
    </row>
    <row r="7" spans="1:9" ht="12.75" customHeight="1">
      <c r="A7" s="390" t="s">
        <v>312</v>
      </c>
      <c r="B7" s="390"/>
      <c r="C7" s="856" t="s">
        <v>1556</v>
      </c>
      <c r="D7" s="856"/>
      <c r="E7" s="553" t="s">
        <v>1557</v>
      </c>
      <c r="F7" s="384"/>
      <c r="G7" s="382"/>
      <c r="H7" s="380"/>
      <c r="I7" s="15"/>
    </row>
    <row r="8" spans="1:9" ht="12.75" customHeight="1">
      <c r="A8" s="392" t="s">
        <v>243</v>
      </c>
      <c r="B8" s="380"/>
      <c r="C8" s="393" t="s">
        <v>0</v>
      </c>
      <c r="D8" s="394" t="s">
        <v>1</v>
      </c>
      <c r="E8" s="393" t="s">
        <v>0</v>
      </c>
      <c r="F8" s="394" t="s">
        <v>1</v>
      </c>
      <c r="G8" s="382"/>
      <c r="H8" s="380"/>
      <c r="I8" s="15"/>
    </row>
    <row r="9" spans="1:9" ht="12.75" customHeight="1">
      <c r="A9" s="389" t="s">
        <v>1348</v>
      </c>
      <c r="B9" s="380"/>
      <c r="C9" s="413">
        <v>0</v>
      </c>
      <c r="D9" s="400">
        <v>0</v>
      </c>
      <c r="E9" s="413">
        <v>2991.7</v>
      </c>
      <c r="F9" s="400">
        <v>77.01403884079286</v>
      </c>
      <c r="G9" s="382"/>
      <c r="H9" s="380"/>
      <c r="I9" s="15"/>
    </row>
    <row r="10" spans="1:9" ht="12.75" customHeight="1">
      <c r="A10" s="389" t="s">
        <v>1207</v>
      </c>
      <c r="B10" s="380"/>
      <c r="C10" s="413">
        <v>0</v>
      </c>
      <c r="D10" s="400">
        <v>0</v>
      </c>
      <c r="E10" s="413">
        <v>33423.3</v>
      </c>
      <c r="F10" s="400">
        <v>101.98627903289022</v>
      </c>
      <c r="G10" s="382"/>
      <c r="H10" s="380"/>
      <c r="I10" s="15"/>
    </row>
    <row r="11" spans="1:9" ht="12.75" customHeight="1">
      <c r="A11" s="389" t="s">
        <v>277</v>
      </c>
      <c r="B11" s="380"/>
      <c r="C11" s="413">
        <v>1498.4</v>
      </c>
      <c r="D11" s="400">
        <v>89.99839829151094</v>
      </c>
      <c r="E11" s="413">
        <v>86848.59999999998</v>
      </c>
      <c r="F11" s="400">
        <v>121.89522341177637</v>
      </c>
      <c r="G11" s="382"/>
      <c r="H11" s="380"/>
      <c r="I11" s="15"/>
    </row>
    <row r="12" spans="1:9" ht="12.75" customHeight="1">
      <c r="A12" s="389" t="s">
        <v>279</v>
      </c>
      <c r="B12" s="380"/>
      <c r="C12" s="413">
        <v>0</v>
      </c>
      <c r="D12" s="400">
        <v>0</v>
      </c>
      <c r="E12" s="413">
        <v>2991</v>
      </c>
      <c r="F12" s="400">
        <v>240.16666666666666</v>
      </c>
      <c r="G12" s="382"/>
      <c r="H12" s="380"/>
      <c r="I12" s="15"/>
    </row>
    <row r="13" spans="1:9" ht="12.75" customHeight="1">
      <c r="A13" s="389" t="s">
        <v>278</v>
      </c>
      <c r="B13" s="380"/>
      <c r="C13" s="413">
        <v>0</v>
      </c>
      <c r="D13" s="400">
        <v>0</v>
      </c>
      <c r="E13" s="413">
        <v>136236.3</v>
      </c>
      <c r="F13" s="400">
        <v>182.6823717320568</v>
      </c>
      <c r="G13" s="382"/>
      <c r="H13" s="380"/>
      <c r="I13" s="15"/>
    </row>
    <row r="14" spans="1:9" ht="12.75" customHeight="1">
      <c r="A14" s="389" t="s">
        <v>1208</v>
      </c>
      <c r="B14" s="380"/>
      <c r="C14" s="413">
        <v>3976</v>
      </c>
      <c r="D14" s="400">
        <v>164</v>
      </c>
      <c r="E14" s="413">
        <v>57307.2</v>
      </c>
      <c r="F14" s="400">
        <v>179.69456368484242</v>
      </c>
      <c r="G14" s="382"/>
      <c r="H14" s="380"/>
      <c r="I14" s="15"/>
    </row>
    <row r="15" spans="1:9" ht="12.75" customHeight="1">
      <c r="A15" s="389" t="s">
        <v>1349</v>
      </c>
      <c r="B15" s="380"/>
      <c r="C15" s="413">
        <v>0</v>
      </c>
      <c r="D15" s="400">
        <v>0</v>
      </c>
      <c r="E15" s="413">
        <v>2982</v>
      </c>
      <c r="F15" s="400">
        <v>166.66666666666666</v>
      </c>
      <c r="G15" s="382"/>
      <c r="H15" s="380"/>
      <c r="I15" s="15"/>
    </row>
    <row r="16" spans="1:9" ht="12.75" customHeight="1">
      <c r="A16" s="389" t="s">
        <v>280</v>
      </c>
      <c r="B16" s="380"/>
      <c r="C16" s="413">
        <v>17436.8</v>
      </c>
      <c r="D16" s="400">
        <v>96.00458799779777</v>
      </c>
      <c r="E16" s="413">
        <v>365866.30000000005</v>
      </c>
      <c r="F16" s="400">
        <v>148.59125396353804</v>
      </c>
      <c r="G16" s="382"/>
      <c r="H16" s="380"/>
      <c r="I16" s="15"/>
    </row>
    <row r="17" spans="1:9" ht="12.75" customHeight="1">
      <c r="A17" s="389" t="s">
        <v>281</v>
      </c>
      <c r="B17" s="380"/>
      <c r="C17" s="413">
        <v>0</v>
      </c>
      <c r="D17" s="400">
        <v>0</v>
      </c>
      <c r="E17" s="413">
        <v>108539.89999999998</v>
      </c>
      <c r="F17" s="400">
        <v>112.63542439232027</v>
      </c>
      <c r="G17" s="382"/>
      <c r="H17" s="380"/>
      <c r="I17" s="15"/>
    </row>
    <row r="18" spans="1:9" ht="12.75" customHeight="1">
      <c r="A18" s="389" t="s">
        <v>1209</v>
      </c>
      <c r="B18" s="380"/>
      <c r="C18" s="413">
        <v>0</v>
      </c>
      <c r="D18" s="400">
        <v>0</v>
      </c>
      <c r="E18" s="413">
        <v>4234.9</v>
      </c>
      <c r="F18" s="400">
        <v>88.83397482821319</v>
      </c>
      <c r="G18" s="382"/>
      <c r="H18" s="380"/>
      <c r="I18" s="15"/>
    </row>
    <row r="19" spans="1:9" ht="12.75" customHeight="1">
      <c r="A19" s="389" t="s">
        <v>1210</v>
      </c>
      <c r="B19" s="380"/>
      <c r="C19" s="413">
        <v>0</v>
      </c>
      <c r="D19" s="400">
        <v>0</v>
      </c>
      <c r="E19" s="413">
        <v>11966.1</v>
      </c>
      <c r="F19" s="400">
        <v>100</v>
      </c>
      <c r="G19" s="382"/>
      <c r="H19" s="380"/>
      <c r="I19" s="15"/>
    </row>
    <row r="20" spans="1:9" ht="12.75" customHeight="1">
      <c r="A20" s="389" t="s">
        <v>1211</v>
      </c>
      <c r="B20" s="380"/>
      <c r="C20" s="413">
        <v>6490.1</v>
      </c>
      <c r="D20" s="400">
        <v>172.1534645074806</v>
      </c>
      <c r="E20" s="413">
        <v>40429.4</v>
      </c>
      <c r="F20" s="400">
        <v>189.93163638342395</v>
      </c>
      <c r="G20" s="382"/>
      <c r="H20" s="380"/>
      <c r="I20" s="15"/>
    </row>
    <row r="21" spans="1:9" ht="12.75" customHeight="1">
      <c r="A21" s="389" t="s">
        <v>1212</v>
      </c>
      <c r="B21" s="380"/>
      <c r="C21" s="413">
        <v>1988</v>
      </c>
      <c r="D21" s="400">
        <v>131.25</v>
      </c>
      <c r="E21" s="413">
        <v>50336.79999999999</v>
      </c>
      <c r="F21" s="400">
        <v>156.12710382861053</v>
      </c>
      <c r="G21" s="382"/>
      <c r="H21" s="380"/>
      <c r="I21" s="15"/>
    </row>
    <row r="22" spans="1:9" ht="12.75" customHeight="1">
      <c r="A22" s="389" t="s">
        <v>282</v>
      </c>
      <c r="B22" s="380"/>
      <c r="C22" s="413">
        <v>9919</v>
      </c>
      <c r="D22" s="400">
        <v>112.7497731626172</v>
      </c>
      <c r="E22" s="413">
        <v>103870.09999999998</v>
      </c>
      <c r="F22" s="400">
        <v>163.7148688602399</v>
      </c>
      <c r="G22" s="382"/>
      <c r="H22" s="380"/>
      <c r="I22" s="15"/>
    </row>
    <row r="23" spans="1:9" ht="12.75" customHeight="1">
      <c r="A23" s="389" t="s">
        <v>283</v>
      </c>
      <c r="B23" s="380"/>
      <c r="C23" s="413">
        <v>11428.5</v>
      </c>
      <c r="D23" s="400">
        <v>222.34807717548236</v>
      </c>
      <c r="E23" s="413">
        <v>602663.2000000002</v>
      </c>
      <c r="F23" s="400">
        <v>255.72334398383703</v>
      </c>
      <c r="G23" s="382"/>
      <c r="H23" s="380"/>
      <c r="I23" s="15"/>
    </row>
    <row r="24" spans="1:9" ht="12.75" customHeight="1">
      <c r="A24" s="389" t="s">
        <v>284</v>
      </c>
      <c r="B24" s="380"/>
      <c r="C24" s="413">
        <v>4473</v>
      </c>
      <c r="D24" s="400">
        <v>84.55555555555556</v>
      </c>
      <c r="E24" s="413">
        <v>45787.2</v>
      </c>
      <c r="F24" s="400">
        <v>104.3166954956844</v>
      </c>
      <c r="G24" s="382"/>
      <c r="H24" s="380"/>
      <c r="I24" s="15"/>
    </row>
    <row r="25" spans="1:9" ht="12.75" customHeight="1">
      <c r="A25" s="389" t="s">
        <v>285</v>
      </c>
      <c r="B25" s="380"/>
      <c r="C25" s="413">
        <v>3973</v>
      </c>
      <c r="D25" s="400">
        <v>76.61376793355147</v>
      </c>
      <c r="E25" s="413">
        <v>120561.69999999998</v>
      </c>
      <c r="F25" s="400">
        <v>159.21711621518278</v>
      </c>
      <c r="G25" s="382"/>
      <c r="H25" s="380"/>
      <c r="I25" s="15"/>
    </row>
    <row r="26" spans="1:9" ht="12.75" customHeight="1">
      <c r="A26" s="389" t="s">
        <v>1213</v>
      </c>
      <c r="B26" s="380"/>
      <c r="C26" s="413">
        <v>2478.8</v>
      </c>
      <c r="D26" s="400">
        <v>62.80054865257382</v>
      </c>
      <c r="E26" s="413">
        <v>25900.8</v>
      </c>
      <c r="F26" s="400">
        <v>127.08038747837904</v>
      </c>
      <c r="G26" s="382"/>
      <c r="H26" s="380"/>
      <c r="I26" s="15"/>
    </row>
    <row r="27" spans="1:9" ht="12.75" customHeight="1">
      <c r="A27" s="389" t="s">
        <v>286</v>
      </c>
      <c r="B27" s="380"/>
      <c r="C27" s="413">
        <v>11482.2</v>
      </c>
      <c r="D27" s="400">
        <v>87.43465537963107</v>
      </c>
      <c r="E27" s="413">
        <v>283853.80000000005</v>
      </c>
      <c r="F27" s="400">
        <v>196.30369260513683</v>
      </c>
      <c r="G27" s="382"/>
      <c r="H27" s="380"/>
      <c r="I27" s="15"/>
    </row>
    <row r="28" spans="1:9" ht="12.75" customHeight="1">
      <c r="A28" s="389" t="s">
        <v>1214</v>
      </c>
      <c r="B28" s="380"/>
      <c r="C28" s="413">
        <v>0</v>
      </c>
      <c r="D28" s="400">
        <v>0</v>
      </c>
      <c r="E28" s="413">
        <v>12462.5</v>
      </c>
      <c r="F28" s="400">
        <v>193.64</v>
      </c>
      <c r="G28" s="382"/>
      <c r="H28" s="380"/>
      <c r="I28" s="15"/>
    </row>
    <row r="29" spans="1:9" ht="12.75" customHeight="1">
      <c r="A29" s="389" t="s">
        <v>287</v>
      </c>
      <c r="B29" s="380"/>
      <c r="C29" s="413">
        <v>27331.6</v>
      </c>
      <c r="D29" s="400">
        <v>84.50960426758772</v>
      </c>
      <c r="E29" s="413">
        <v>219848.19999999998</v>
      </c>
      <c r="F29" s="400">
        <v>156.702484714453</v>
      </c>
      <c r="G29" s="382"/>
      <c r="H29" s="380"/>
      <c r="I29" s="15"/>
    </row>
    <row r="30" spans="1:9" ht="12.75" customHeight="1">
      <c r="A30" s="389" t="s">
        <v>288</v>
      </c>
      <c r="B30" s="380"/>
      <c r="C30" s="413">
        <v>41376.1</v>
      </c>
      <c r="D30" s="400">
        <v>97.90337658696687</v>
      </c>
      <c r="E30" s="413">
        <v>546407</v>
      </c>
      <c r="F30" s="400">
        <v>163.1865402529616</v>
      </c>
      <c r="G30" s="382"/>
      <c r="H30" s="380"/>
      <c r="I30" s="15"/>
    </row>
    <row r="31" spans="1:9" ht="12.75" customHeight="1">
      <c r="A31" s="389" t="s">
        <v>1215</v>
      </c>
      <c r="B31" s="380"/>
      <c r="C31" s="413">
        <v>0</v>
      </c>
      <c r="D31" s="400">
        <v>0</v>
      </c>
      <c r="E31" s="413">
        <v>12483.4</v>
      </c>
      <c r="F31" s="400">
        <v>128.42010990595512</v>
      </c>
      <c r="G31" s="382"/>
      <c r="H31" s="380"/>
      <c r="I31" s="15"/>
    </row>
    <row r="32" spans="1:9" ht="12.75" customHeight="1">
      <c r="A32" s="389" t="s">
        <v>289</v>
      </c>
      <c r="B32" s="380"/>
      <c r="C32" s="413">
        <v>33458</v>
      </c>
      <c r="D32" s="400">
        <v>200.7013419809911</v>
      </c>
      <c r="E32" s="413">
        <v>550219.2999999999</v>
      </c>
      <c r="F32" s="400">
        <v>209.70643868726526</v>
      </c>
      <c r="G32" s="382"/>
      <c r="H32" s="380"/>
      <c r="I32" s="15"/>
    </row>
    <row r="33" spans="1:9" ht="12.75" customHeight="1">
      <c r="A33" s="389" t="s">
        <v>290</v>
      </c>
      <c r="B33" s="380"/>
      <c r="C33" s="413">
        <v>498.5</v>
      </c>
      <c r="D33" s="400">
        <v>72</v>
      </c>
      <c r="E33" s="413">
        <v>67210.7</v>
      </c>
      <c r="F33" s="400">
        <v>97.89778413258604</v>
      </c>
      <c r="G33" s="382"/>
      <c r="H33" s="380"/>
      <c r="I33" s="15"/>
    </row>
    <row r="34" spans="1:9" ht="12.75" customHeight="1">
      <c r="A34" s="389" t="s">
        <v>291</v>
      </c>
      <c r="B34" s="380"/>
      <c r="C34" s="413">
        <v>1493.2</v>
      </c>
      <c r="D34" s="400">
        <v>112.70693811947496</v>
      </c>
      <c r="E34" s="413">
        <v>258511.40000000005</v>
      </c>
      <c r="F34" s="400">
        <v>130.77893663490275</v>
      </c>
      <c r="G34" s="382"/>
      <c r="H34" s="380"/>
      <c r="I34" s="15"/>
    </row>
    <row r="35" spans="1:9" ht="12.75" customHeight="1">
      <c r="A35" s="389" t="s">
        <v>292</v>
      </c>
      <c r="B35" s="380"/>
      <c r="C35" s="413">
        <v>0</v>
      </c>
      <c r="D35" s="400">
        <v>0</v>
      </c>
      <c r="E35" s="413">
        <v>148539.29999999996</v>
      </c>
      <c r="F35" s="400">
        <v>195.51728532448996</v>
      </c>
      <c r="G35" s="382"/>
      <c r="H35" s="380"/>
      <c r="I35" s="15"/>
    </row>
    <row r="36" spans="1:9" ht="12.75" customHeight="1">
      <c r="A36" s="389" t="s">
        <v>294</v>
      </c>
      <c r="B36" s="380"/>
      <c r="C36" s="413">
        <v>0</v>
      </c>
      <c r="D36" s="400">
        <v>0</v>
      </c>
      <c r="E36" s="413">
        <v>21114.2</v>
      </c>
      <c r="F36" s="400">
        <v>88.11183942559983</v>
      </c>
      <c r="G36" s="382"/>
      <c r="H36" s="380"/>
      <c r="I36" s="15"/>
    </row>
    <row r="37" spans="1:9" ht="12.75" customHeight="1">
      <c r="A37" s="389" t="s">
        <v>295</v>
      </c>
      <c r="B37" s="380"/>
      <c r="C37" s="413">
        <v>17422.9</v>
      </c>
      <c r="D37" s="400">
        <v>97.34914968231465</v>
      </c>
      <c r="E37" s="413">
        <v>195542.4</v>
      </c>
      <c r="F37" s="400">
        <v>103.95322242132652</v>
      </c>
      <c r="G37" s="382"/>
      <c r="H37" s="380"/>
      <c r="I37" s="15"/>
    </row>
    <row r="38" spans="1:9" ht="12.75" customHeight="1">
      <c r="A38" s="389" t="s">
        <v>1216</v>
      </c>
      <c r="B38" s="380"/>
      <c r="C38" s="413">
        <v>0</v>
      </c>
      <c r="D38" s="400">
        <v>0</v>
      </c>
      <c r="E38" s="413">
        <v>8975.8</v>
      </c>
      <c r="F38" s="400">
        <v>171.7285478731701</v>
      </c>
      <c r="G38" s="382"/>
      <c r="H38" s="380"/>
      <c r="I38" s="15"/>
    </row>
    <row r="39" spans="1:9" ht="12.75" customHeight="1">
      <c r="A39" s="389" t="s">
        <v>293</v>
      </c>
      <c r="B39" s="380"/>
      <c r="C39" s="413">
        <v>12955.9</v>
      </c>
      <c r="D39" s="400">
        <v>83.34910735649395</v>
      </c>
      <c r="E39" s="413">
        <v>234448.80000000002</v>
      </c>
      <c r="F39" s="400">
        <v>162.3716781659791</v>
      </c>
      <c r="G39" s="382"/>
      <c r="H39" s="380"/>
      <c r="I39" s="15"/>
    </row>
    <row r="40" spans="1:9" ht="12.75" customHeight="1">
      <c r="A40" s="389" t="s">
        <v>1217</v>
      </c>
      <c r="B40" s="380"/>
      <c r="C40" s="413">
        <v>2477.5</v>
      </c>
      <c r="D40" s="400">
        <v>153.9891019172553</v>
      </c>
      <c r="E40" s="413">
        <v>36357.3</v>
      </c>
      <c r="F40" s="400">
        <v>189.60530072365108</v>
      </c>
      <c r="G40" s="382"/>
      <c r="H40" s="380"/>
      <c r="I40" s="15"/>
    </row>
    <row r="41" spans="1:9" ht="12.75" customHeight="1">
      <c r="A41" s="389" t="s">
        <v>1218</v>
      </c>
      <c r="B41" s="380"/>
      <c r="C41" s="413">
        <v>2485</v>
      </c>
      <c r="D41" s="400">
        <v>82.4</v>
      </c>
      <c r="E41" s="413">
        <v>43403.200000000004</v>
      </c>
      <c r="F41" s="400">
        <v>158.64379124119878</v>
      </c>
      <c r="G41" s="382"/>
      <c r="H41" s="380"/>
      <c r="I41" s="15"/>
    </row>
    <row r="42" spans="1:9" ht="12.75" customHeight="1">
      <c r="A42" s="389" t="s">
        <v>296</v>
      </c>
      <c r="B42" s="380"/>
      <c r="C42" s="413">
        <v>8461</v>
      </c>
      <c r="D42" s="400">
        <v>80.11021155891738</v>
      </c>
      <c r="E42" s="413">
        <v>201984.30000000005</v>
      </c>
      <c r="F42" s="400">
        <v>135.9611860921863</v>
      </c>
      <c r="G42" s="382"/>
      <c r="H42" s="380"/>
      <c r="I42" s="15"/>
    </row>
    <row r="43" spans="1:9" ht="12.75" customHeight="1">
      <c r="A43" s="389" t="s">
        <v>297</v>
      </c>
      <c r="B43" s="380"/>
      <c r="C43" s="413">
        <v>997.7</v>
      </c>
      <c r="D43" s="400">
        <v>89.50035080685576</v>
      </c>
      <c r="E43" s="413">
        <v>98436.59999999999</v>
      </c>
      <c r="F43" s="400">
        <v>105.04619115247783</v>
      </c>
      <c r="G43" s="382"/>
      <c r="H43" s="380"/>
      <c r="I43" s="15"/>
    </row>
    <row r="44" spans="1:9" ht="12.75" customHeight="1">
      <c r="A44" s="389" t="s">
        <v>313</v>
      </c>
      <c r="B44" s="380"/>
      <c r="C44" s="413">
        <v>0</v>
      </c>
      <c r="D44" s="400">
        <v>0</v>
      </c>
      <c r="E44" s="413">
        <v>85431.2</v>
      </c>
      <c r="F44" s="400">
        <v>156.33178159735556</v>
      </c>
      <c r="G44" s="382"/>
      <c r="H44" s="380"/>
      <c r="I44" s="15"/>
    </row>
    <row r="45" spans="1:9" ht="12.75" customHeight="1">
      <c r="A45" s="389" t="s">
        <v>298</v>
      </c>
      <c r="B45" s="380"/>
      <c r="C45" s="413">
        <v>21914.5</v>
      </c>
      <c r="D45" s="400">
        <v>95.61767323005316</v>
      </c>
      <c r="E45" s="413">
        <v>624300.6</v>
      </c>
      <c r="F45" s="400">
        <v>159.34948580859924</v>
      </c>
      <c r="G45" s="382"/>
      <c r="H45" s="380"/>
      <c r="I45" s="15"/>
    </row>
    <row r="46" spans="1:9" ht="12.75" customHeight="1">
      <c r="A46" s="389" t="s">
        <v>1219</v>
      </c>
      <c r="B46" s="380"/>
      <c r="C46" s="413">
        <v>13479.4</v>
      </c>
      <c r="D46" s="400">
        <v>167.26001899194327</v>
      </c>
      <c r="E46" s="413">
        <v>91340.09999999999</v>
      </c>
      <c r="F46" s="400">
        <v>186.30427161783268</v>
      </c>
      <c r="G46" s="382"/>
      <c r="H46" s="380"/>
      <c r="I46" s="15"/>
    </row>
    <row r="47" spans="1:9" ht="12.75" customHeight="1">
      <c r="A47" s="389" t="s">
        <v>299</v>
      </c>
      <c r="B47" s="380"/>
      <c r="C47" s="413">
        <v>0</v>
      </c>
      <c r="D47" s="400">
        <v>0</v>
      </c>
      <c r="E47" s="413">
        <v>80739.99999999999</v>
      </c>
      <c r="F47" s="400">
        <v>114.11559326232353</v>
      </c>
      <c r="G47" s="382"/>
      <c r="H47" s="380"/>
      <c r="I47" s="15"/>
    </row>
    <row r="48" spans="1:9" ht="12.75" customHeight="1">
      <c r="A48" s="389" t="s">
        <v>1220</v>
      </c>
      <c r="B48" s="380"/>
      <c r="C48" s="413">
        <v>0</v>
      </c>
      <c r="D48" s="400">
        <v>0</v>
      </c>
      <c r="E48" s="413">
        <v>17966.1</v>
      </c>
      <c r="F48" s="400">
        <v>108.66740694975537</v>
      </c>
      <c r="G48" s="382"/>
      <c r="H48" s="380"/>
      <c r="I48" s="15"/>
    </row>
    <row r="49" spans="1:9" ht="12.75" customHeight="1">
      <c r="A49" s="389" t="s">
        <v>300</v>
      </c>
      <c r="B49" s="380"/>
      <c r="C49" s="413">
        <v>1497</v>
      </c>
      <c r="D49" s="400">
        <v>92.34101536406146</v>
      </c>
      <c r="E49" s="413">
        <v>99051.2</v>
      </c>
      <c r="F49" s="400">
        <v>112.1195048621319</v>
      </c>
      <c r="G49" s="382"/>
      <c r="H49" s="380"/>
      <c r="I49" s="15"/>
    </row>
    <row r="50" spans="1:9" ht="12.75" customHeight="1">
      <c r="A50" s="389" t="s">
        <v>301</v>
      </c>
      <c r="B50" s="380"/>
      <c r="C50" s="413">
        <v>32909.3</v>
      </c>
      <c r="D50" s="400">
        <v>163.05980072502302</v>
      </c>
      <c r="E50" s="413">
        <v>961173.6</v>
      </c>
      <c r="F50" s="400">
        <v>189.97552211171842</v>
      </c>
      <c r="G50" s="382"/>
      <c r="H50" s="380"/>
      <c r="I50" s="15"/>
    </row>
    <row r="51" spans="1:9" ht="12.75" customHeight="1">
      <c r="A51" s="389" t="s">
        <v>302</v>
      </c>
      <c r="B51" s="380"/>
      <c r="C51" s="413">
        <v>6449.4</v>
      </c>
      <c r="D51" s="400">
        <v>81.52029646168636</v>
      </c>
      <c r="E51" s="413">
        <v>219393.40000000005</v>
      </c>
      <c r="F51" s="400">
        <v>106.65836164624822</v>
      </c>
      <c r="G51" s="382"/>
      <c r="H51" s="380"/>
      <c r="I51" s="15"/>
    </row>
    <row r="52" spans="1:9" ht="12.75" customHeight="1">
      <c r="A52" s="389" t="s">
        <v>303</v>
      </c>
      <c r="B52" s="380"/>
      <c r="C52" s="413">
        <v>498.5</v>
      </c>
      <c r="D52" s="400">
        <v>110</v>
      </c>
      <c r="E52" s="413">
        <v>193431.7</v>
      </c>
      <c r="F52" s="400">
        <v>125.55463039408743</v>
      </c>
      <c r="G52" s="382"/>
      <c r="H52" s="380"/>
      <c r="I52" s="15"/>
    </row>
    <row r="53" spans="1:9" ht="12.75" customHeight="1">
      <c r="A53" s="389" t="s">
        <v>314</v>
      </c>
      <c r="B53" s="380"/>
      <c r="C53" s="413">
        <v>3486.5</v>
      </c>
      <c r="D53" s="400">
        <v>83.56374587695396</v>
      </c>
      <c r="E53" s="413">
        <v>74554.7</v>
      </c>
      <c r="F53" s="400">
        <v>152.62610405514343</v>
      </c>
      <c r="G53" s="382"/>
      <c r="H53" s="380"/>
      <c r="I53" s="15"/>
    </row>
    <row r="54" spans="1:9" ht="12.75" customHeight="1">
      <c r="A54" s="389" t="s">
        <v>1221</v>
      </c>
      <c r="B54" s="380"/>
      <c r="C54" s="501">
        <v>0</v>
      </c>
      <c r="D54" s="404">
        <v>0</v>
      </c>
      <c r="E54" s="501">
        <v>12413.2</v>
      </c>
      <c r="F54" s="404">
        <v>97.331026649051</v>
      </c>
      <c r="G54" s="382"/>
      <c r="H54" s="380"/>
      <c r="I54" s="15"/>
    </row>
    <row r="55" spans="1:9" ht="12.75" customHeight="1">
      <c r="A55" s="389" t="s">
        <v>304</v>
      </c>
      <c r="B55" s="380"/>
      <c r="C55" s="501">
        <v>304335.80000000005</v>
      </c>
      <c r="D55" s="404">
        <v>123.14163565377451</v>
      </c>
      <c r="E55" s="501">
        <v>7202530.499999999</v>
      </c>
      <c r="F55" s="404">
        <v>167.893427775141</v>
      </c>
      <c r="G55" s="382"/>
      <c r="H55" s="380"/>
      <c r="I55" s="15"/>
    </row>
    <row r="56" spans="1:9" ht="12.75" customHeight="1">
      <c r="A56" s="392" t="s">
        <v>36</v>
      </c>
      <c r="B56" s="390"/>
      <c r="C56" s="393"/>
      <c r="D56" s="394"/>
      <c r="E56" s="393"/>
      <c r="F56" s="394"/>
      <c r="G56" s="382"/>
      <c r="H56" s="380"/>
      <c r="I56" s="15"/>
    </row>
    <row r="57" spans="1:9" ht="12.75" customHeight="1">
      <c r="A57" s="392" t="s">
        <v>1222</v>
      </c>
      <c r="B57" s="390"/>
      <c r="C57" s="393" t="s">
        <v>0</v>
      </c>
      <c r="D57" s="394" t="s">
        <v>1</v>
      </c>
      <c r="E57" s="393" t="s">
        <v>0</v>
      </c>
      <c r="F57" s="394" t="s">
        <v>1</v>
      </c>
      <c r="G57" s="382"/>
      <c r="H57" s="380"/>
      <c r="I57" s="15"/>
    </row>
    <row r="58" spans="1:9" ht="12.75" customHeight="1">
      <c r="A58" s="389" t="s">
        <v>1223</v>
      </c>
      <c r="B58" s="380"/>
      <c r="C58" s="413">
        <v>0</v>
      </c>
      <c r="D58" s="400">
        <v>0</v>
      </c>
      <c r="E58" s="413">
        <v>10979.6</v>
      </c>
      <c r="F58" s="400">
        <v>122.77976429013806</v>
      </c>
      <c r="G58" s="382"/>
      <c r="H58" s="380"/>
      <c r="I58" s="15"/>
    </row>
    <row r="59" spans="1:9" ht="12.75" customHeight="1">
      <c r="A59" s="389" t="s">
        <v>1224</v>
      </c>
      <c r="B59" s="380"/>
      <c r="C59" s="413">
        <v>0</v>
      </c>
      <c r="D59" s="400">
        <v>0</v>
      </c>
      <c r="E59" s="413">
        <v>15356.6</v>
      </c>
      <c r="F59" s="400">
        <v>130.29511740880142</v>
      </c>
      <c r="G59" s="382"/>
      <c r="H59" s="380"/>
      <c r="I59" s="15"/>
    </row>
    <row r="60" spans="1:9" ht="12.75" customHeight="1">
      <c r="A60" s="389" t="s">
        <v>1225</v>
      </c>
      <c r="B60" s="380"/>
      <c r="C60" s="413">
        <v>0</v>
      </c>
      <c r="D60" s="400">
        <v>0</v>
      </c>
      <c r="E60" s="501">
        <v>44894.5</v>
      </c>
      <c r="F60" s="404">
        <v>159.90756551470668</v>
      </c>
      <c r="G60" s="382"/>
      <c r="H60" s="380"/>
      <c r="I60" s="15"/>
    </row>
    <row r="61" spans="1:9" ht="12.75" customHeight="1">
      <c r="A61" s="389" t="s">
        <v>304</v>
      </c>
      <c r="B61" s="380"/>
      <c r="C61" s="501">
        <v>0</v>
      </c>
      <c r="D61" s="404">
        <v>0</v>
      </c>
      <c r="E61" s="501">
        <v>71230.7</v>
      </c>
      <c r="F61" s="404">
        <v>147.80049753828052</v>
      </c>
      <c r="G61" s="382"/>
      <c r="H61" s="380"/>
      <c r="I61" s="15"/>
    </row>
    <row r="62" spans="1:9" ht="12.75" customHeight="1">
      <c r="A62" s="389" t="s">
        <v>1226</v>
      </c>
      <c r="B62" s="390"/>
      <c r="C62" s="393">
        <v>304335.80000000005</v>
      </c>
      <c r="D62" s="394">
        <v>123.14163565377451</v>
      </c>
      <c r="E62" s="393">
        <v>7273761.199999999</v>
      </c>
      <c r="F62" s="394">
        <v>167.69666114416842</v>
      </c>
      <c r="G62" s="382"/>
      <c r="H62" s="380"/>
      <c r="I62" s="15"/>
    </row>
    <row r="63" spans="1:9" ht="12.75" customHeight="1">
      <c r="A63" s="392" t="s">
        <v>1227</v>
      </c>
      <c r="B63" s="390"/>
      <c r="C63" s="393" t="s">
        <v>306</v>
      </c>
      <c r="D63" s="394" t="s">
        <v>307</v>
      </c>
      <c r="E63" s="393" t="s">
        <v>306</v>
      </c>
      <c r="F63" s="394" t="s">
        <v>307</v>
      </c>
      <c r="G63" s="382"/>
      <c r="H63" s="380"/>
      <c r="I63" s="15"/>
    </row>
    <row r="64" spans="1:9" ht="12.75" customHeight="1">
      <c r="A64" s="389" t="s">
        <v>287</v>
      </c>
      <c r="B64" s="380"/>
      <c r="C64" s="413">
        <v>20</v>
      </c>
      <c r="D64" s="400">
        <v>710</v>
      </c>
      <c r="E64" s="413">
        <v>301</v>
      </c>
      <c r="F64" s="400">
        <v>1114.8172757475083</v>
      </c>
      <c r="G64" s="382"/>
      <c r="H64" s="380"/>
      <c r="I64" s="15"/>
    </row>
    <row r="65" spans="1:9" ht="12.75" customHeight="1">
      <c r="A65" s="389" t="s">
        <v>1218</v>
      </c>
      <c r="B65" s="380"/>
      <c r="C65" s="501">
        <v>0</v>
      </c>
      <c r="D65" s="404">
        <v>0</v>
      </c>
      <c r="E65" s="501">
        <v>12</v>
      </c>
      <c r="F65" s="404">
        <v>1212.5</v>
      </c>
      <c r="G65" s="382"/>
      <c r="H65" s="380"/>
      <c r="I65" s="15"/>
    </row>
    <row r="66" spans="1:9" ht="12.75" customHeight="1">
      <c r="A66" s="389" t="s">
        <v>304</v>
      </c>
      <c r="B66" s="380"/>
      <c r="C66" s="501">
        <v>20</v>
      </c>
      <c r="D66" s="404">
        <v>710</v>
      </c>
      <c r="E66" s="501">
        <v>313</v>
      </c>
      <c r="F66" s="404">
        <v>1118.5623003194887</v>
      </c>
      <c r="G66" s="382"/>
      <c r="H66" s="380"/>
      <c r="I66" s="15"/>
    </row>
    <row r="67" spans="1:9" ht="12.75" customHeight="1">
      <c r="A67" s="389" t="s">
        <v>1226</v>
      </c>
      <c r="B67" s="390"/>
      <c r="C67" s="393">
        <v>304355.80000000005</v>
      </c>
      <c r="D67" s="394">
        <v>123.18019962162703</v>
      </c>
      <c r="E67" s="393">
        <v>7274572.699999999</v>
      </c>
      <c r="F67" s="394">
        <v>167.73135853051548</v>
      </c>
      <c r="G67" s="382"/>
      <c r="H67" s="380"/>
      <c r="I67" s="15"/>
    </row>
    <row r="68" spans="1:9" ht="12.75" customHeight="1">
      <c r="A68" s="392" t="s">
        <v>1228</v>
      </c>
      <c r="B68" s="390"/>
      <c r="C68" s="393" t="s">
        <v>0</v>
      </c>
      <c r="D68" s="394" t="s">
        <v>1</v>
      </c>
      <c r="E68" s="393" t="s">
        <v>0</v>
      </c>
      <c r="F68" s="394" t="s">
        <v>1</v>
      </c>
      <c r="G68" s="382"/>
      <c r="H68" s="380"/>
      <c r="I68" s="15"/>
    </row>
    <row r="69" spans="1:9" ht="12.75" customHeight="1">
      <c r="A69" s="389" t="s">
        <v>278</v>
      </c>
      <c r="B69" s="380"/>
      <c r="C69" s="413">
        <v>0</v>
      </c>
      <c r="D69" s="400">
        <v>0</v>
      </c>
      <c r="E69" s="413">
        <v>1183</v>
      </c>
      <c r="F69" s="400">
        <v>217.62890955198648</v>
      </c>
      <c r="G69" s="382"/>
      <c r="H69" s="380"/>
      <c r="I69" s="15"/>
    </row>
    <row r="70" spans="1:9" ht="12.75" customHeight="1">
      <c r="A70" s="389" t="s">
        <v>294</v>
      </c>
      <c r="B70" s="380"/>
      <c r="C70" s="501">
        <v>0</v>
      </c>
      <c r="D70" s="404">
        <v>0</v>
      </c>
      <c r="E70" s="501">
        <v>497</v>
      </c>
      <c r="F70" s="404">
        <v>115</v>
      </c>
      <c r="G70" s="382"/>
      <c r="H70" s="380"/>
      <c r="I70" s="15"/>
    </row>
    <row r="71" spans="1:9" ht="12.75" customHeight="1">
      <c r="A71" s="389" t="s">
        <v>304</v>
      </c>
      <c r="B71" s="380"/>
      <c r="C71" s="501">
        <v>0</v>
      </c>
      <c r="D71" s="404">
        <v>0</v>
      </c>
      <c r="E71" s="501">
        <v>1680</v>
      </c>
      <c r="F71" s="404">
        <v>187.26785714285714</v>
      </c>
      <c r="G71" s="382"/>
      <c r="H71" s="380"/>
      <c r="I71" s="15"/>
    </row>
    <row r="72" spans="1:9" ht="18" customHeight="1">
      <c r="A72" s="389" t="s">
        <v>308</v>
      </c>
      <c r="B72" s="380"/>
      <c r="C72" s="501">
        <v>304355.80000000005</v>
      </c>
      <c r="D72" s="404">
        <v>123.18019962162703</v>
      </c>
      <c r="E72" s="681">
        <v>7275754.199999999</v>
      </c>
      <c r="F72" s="404">
        <v>167.74208606442477</v>
      </c>
      <c r="G72" s="382"/>
      <c r="H72" s="501"/>
      <c r="I72" s="15"/>
    </row>
    <row r="73" spans="1:9" ht="12.75" customHeight="1">
      <c r="A73" s="392"/>
      <c r="B73" s="661"/>
      <c r="C73" s="628" t="s">
        <v>1556</v>
      </c>
      <c r="D73" s="408"/>
      <c r="E73" s="682" t="s">
        <v>1557</v>
      </c>
      <c r="F73" s="628"/>
      <c r="G73" s="663"/>
      <c r="H73" s="664"/>
      <c r="I73" s="15"/>
    </row>
    <row r="74" spans="1:9" ht="12.75" customHeight="1">
      <c r="A74" s="392" t="s">
        <v>40</v>
      </c>
      <c r="B74" s="503" t="s">
        <v>41</v>
      </c>
      <c r="C74" s="393" t="s">
        <v>0</v>
      </c>
      <c r="D74" s="394" t="s">
        <v>164</v>
      </c>
      <c r="E74" s="393" t="s">
        <v>41</v>
      </c>
      <c r="F74" s="394" t="s">
        <v>0</v>
      </c>
      <c r="G74" s="679" t="s">
        <v>164</v>
      </c>
      <c r="H74" s="680" t="s">
        <v>2</v>
      </c>
      <c r="I74" s="15"/>
    </row>
    <row r="75" spans="1:9" ht="12.75" customHeight="1">
      <c r="A75" s="389" t="s">
        <v>42</v>
      </c>
      <c r="B75" s="380">
        <v>370</v>
      </c>
      <c r="C75" s="413">
        <v>18414.5</v>
      </c>
      <c r="D75" s="400">
        <v>97.22</v>
      </c>
      <c r="E75" s="624">
        <v>405</v>
      </c>
      <c r="F75" s="399">
        <v>20155</v>
      </c>
      <c r="G75" s="382">
        <v>96.52848871247829</v>
      </c>
      <c r="H75" s="665">
        <v>0.002770159552668781</v>
      </c>
      <c r="I75" s="15"/>
    </row>
    <row r="76" spans="1:9" ht="12.75" customHeight="1">
      <c r="A76" s="389" t="s">
        <v>43</v>
      </c>
      <c r="B76" s="390">
        <v>5741</v>
      </c>
      <c r="C76" s="393">
        <v>285941.3</v>
      </c>
      <c r="D76" s="394">
        <v>124.85202560805314</v>
      </c>
      <c r="E76" s="625">
        <v>145497</v>
      </c>
      <c r="F76" s="409">
        <v>7255599.199999998</v>
      </c>
      <c r="G76" s="502">
        <v>167.9399070872052</v>
      </c>
      <c r="H76" s="666">
        <v>0.9972298404473312</v>
      </c>
      <c r="I76" s="15"/>
    </row>
    <row r="77" spans="1:9" ht="12.75" customHeight="1">
      <c r="A77" s="392" t="s">
        <v>44</v>
      </c>
      <c r="B77" s="390">
        <v>6111</v>
      </c>
      <c r="C77" s="393">
        <v>304355.8</v>
      </c>
      <c r="D77" s="394">
        <v>123.18019962162707</v>
      </c>
      <c r="E77" s="625">
        <v>145902</v>
      </c>
      <c r="F77" s="409">
        <v>7275754.199999998</v>
      </c>
      <c r="G77" s="502">
        <v>167.74208606442483</v>
      </c>
      <c r="H77" s="666">
        <v>1</v>
      </c>
      <c r="I77" s="15"/>
    </row>
    <row r="78" spans="1:9" ht="12.75" customHeight="1">
      <c r="A78" s="392"/>
      <c r="B78" s="380"/>
      <c r="C78" s="393"/>
      <c r="D78" s="394"/>
      <c r="E78" s="393"/>
      <c r="F78" s="394"/>
      <c r="G78" s="382"/>
      <c r="H78" s="380"/>
      <c r="I78" s="15"/>
    </row>
    <row r="79" spans="1:9" ht="12.75" customHeight="1">
      <c r="A79" s="392"/>
      <c r="B79" s="380"/>
      <c r="C79" s="393"/>
      <c r="D79" s="394"/>
      <c r="E79" s="393"/>
      <c r="F79" s="394"/>
      <c r="G79" s="382"/>
      <c r="H79" s="380"/>
      <c r="I79" s="15"/>
    </row>
    <row r="80" spans="1:9" ht="12.75" customHeight="1">
      <c r="A80" s="389"/>
      <c r="B80" s="380"/>
      <c r="C80" s="413"/>
      <c r="D80" s="400"/>
      <c r="E80" s="413"/>
      <c r="F80" s="400"/>
      <c r="G80" s="382"/>
      <c r="H80" s="380"/>
      <c r="I80" s="15"/>
    </row>
    <row r="81" spans="1:9" ht="12.75" customHeight="1">
      <c r="A81" s="389"/>
      <c r="B81" s="380"/>
      <c r="C81" s="413"/>
      <c r="D81" s="400"/>
      <c r="E81" s="413"/>
      <c r="F81" s="400"/>
      <c r="G81" s="382"/>
      <c r="H81" s="380"/>
      <c r="I81" s="15"/>
    </row>
    <row r="82" spans="1:9" ht="12.75" customHeight="1">
      <c r="A82" s="389"/>
      <c r="B82" s="380"/>
      <c r="C82" s="413"/>
      <c r="D82" s="400"/>
      <c r="E82" s="413"/>
      <c r="F82" s="400"/>
      <c r="G82" s="382"/>
      <c r="H82" s="380"/>
      <c r="I82" s="15"/>
    </row>
    <row r="83" spans="1:9" ht="12.75" customHeight="1">
      <c r="A83" s="389"/>
      <c r="B83" s="380"/>
      <c r="C83" s="413"/>
      <c r="D83" s="400"/>
      <c r="E83" s="413"/>
      <c r="F83" s="400"/>
      <c r="G83" s="382"/>
      <c r="H83" s="380"/>
      <c r="I83" s="15"/>
    </row>
    <row r="84" spans="1:9" ht="12.75" customHeight="1">
      <c r="A84" s="389"/>
      <c r="B84" s="380"/>
      <c r="C84" s="413"/>
      <c r="D84" s="400"/>
      <c r="E84" s="413"/>
      <c r="F84" s="400"/>
      <c r="G84" s="382"/>
      <c r="H84" s="380"/>
      <c r="I84" s="15"/>
    </row>
    <row r="85" spans="1:9" ht="12.75" customHeight="1">
      <c r="A85" s="389"/>
      <c r="B85" s="380"/>
      <c r="C85" s="413"/>
      <c r="D85" s="400"/>
      <c r="E85" s="413"/>
      <c r="F85" s="400"/>
      <c r="G85" s="382"/>
      <c r="H85" s="380"/>
      <c r="I85" s="15"/>
    </row>
    <row r="86" spans="1:9" ht="12.75" customHeight="1">
      <c r="A86" s="389"/>
      <c r="B86" s="380"/>
      <c r="C86" s="413"/>
      <c r="D86" s="400"/>
      <c r="E86" s="413"/>
      <c r="F86" s="400"/>
      <c r="G86" s="382"/>
      <c r="H86" s="380"/>
      <c r="I86" s="15"/>
    </row>
    <row r="87" spans="1:9" ht="12.75" customHeight="1">
      <c r="A87" s="389"/>
      <c r="B87" s="380"/>
      <c r="C87" s="413"/>
      <c r="D87" s="400"/>
      <c r="E87" s="413"/>
      <c r="F87" s="400"/>
      <c r="G87" s="382"/>
      <c r="H87" s="380"/>
      <c r="I87" s="15"/>
    </row>
    <row r="88" spans="1:9" ht="12.75" customHeight="1">
      <c r="A88" s="389"/>
      <c r="B88" s="380"/>
      <c r="C88" s="413"/>
      <c r="D88" s="400"/>
      <c r="E88" s="413"/>
      <c r="F88" s="400"/>
      <c r="G88" s="382"/>
      <c r="H88" s="380"/>
      <c r="I88" s="15"/>
    </row>
    <row r="89" spans="1:9" ht="12.75" customHeight="1">
      <c r="A89" s="389"/>
      <c r="B89" s="380"/>
      <c r="C89" s="413"/>
      <c r="D89" s="400"/>
      <c r="E89" s="413"/>
      <c r="F89" s="400"/>
      <c r="G89" s="382"/>
      <c r="H89" s="380"/>
      <c r="I89" s="15"/>
    </row>
    <row r="90" spans="1:9" ht="12.75" customHeight="1">
      <c r="A90" s="389"/>
      <c r="B90" s="380"/>
      <c r="C90" s="413"/>
      <c r="D90" s="400"/>
      <c r="E90" s="413"/>
      <c r="F90" s="400"/>
      <c r="G90" s="382"/>
      <c r="H90" s="380"/>
      <c r="I90" s="15"/>
    </row>
    <row r="91" spans="1:9" ht="12.75" customHeight="1">
      <c r="A91" s="389"/>
      <c r="B91" s="380"/>
      <c r="C91" s="413"/>
      <c r="D91" s="400"/>
      <c r="E91" s="413"/>
      <c r="F91" s="400"/>
      <c r="G91" s="382"/>
      <c r="H91" s="380"/>
      <c r="I91" s="15"/>
    </row>
    <row r="92" spans="1:9" ht="12.75" customHeight="1">
      <c r="A92" s="389"/>
      <c r="B92" s="380"/>
      <c r="C92" s="413"/>
      <c r="D92" s="400"/>
      <c r="E92" s="413"/>
      <c r="F92" s="400"/>
      <c r="G92" s="382"/>
      <c r="H92" s="380"/>
      <c r="I92" s="15"/>
    </row>
    <row r="93" spans="1:9" ht="12.75" customHeight="1">
      <c r="A93" s="389"/>
      <c r="B93" s="380"/>
      <c r="C93" s="413"/>
      <c r="D93" s="400"/>
      <c r="E93" s="413"/>
      <c r="F93" s="400"/>
      <c r="G93" s="382"/>
      <c r="H93" s="380"/>
      <c r="I93" s="15"/>
    </row>
    <row r="94" spans="1:9" ht="12.75" customHeight="1">
      <c r="A94" s="389"/>
      <c r="B94" s="380"/>
      <c r="C94" s="413"/>
      <c r="D94" s="400"/>
      <c r="E94" s="413"/>
      <c r="F94" s="400"/>
      <c r="G94" s="382"/>
      <c r="H94" s="380"/>
      <c r="I94" s="15"/>
    </row>
    <row r="95" spans="1:9" ht="12.75" customHeight="1">
      <c r="A95" s="389"/>
      <c r="B95" s="380"/>
      <c r="C95" s="413"/>
      <c r="D95" s="400"/>
      <c r="E95" s="413"/>
      <c r="F95" s="400"/>
      <c r="G95" s="382"/>
      <c r="H95" s="380"/>
      <c r="I95" s="15"/>
    </row>
    <row r="96" spans="1:9" ht="12.75" customHeight="1">
      <c r="A96" s="389"/>
      <c r="B96" s="380"/>
      <c r="C96" s="413"/>
      <c r="D96" s="400"/>
      <c r="E96" s="413"/>
      <c r="F96" s="400"/>
      <c r="G96" s="382"/>
      <c r="H96" s="380"/>
      <c r="I96" s="15"/>
    </row>
    <row r="97" spans="1:9" ht="12.75" customHeight="1">
      <c r="A97" s="389"/>
      <c r="B97" s="380"/>
      <c r="C97" s="413"/>
      <c r="D97" s="400"/>
      <c r="E97" s="413"/>
      <c r="F97" s="400"/>
      <c r="G97" s="382"/>
      <c r="H97" s="380"/>
      <c r="I97" s="15"/>
    </row>
    <row r="98" spans="1:9" ht="12.75" customHeight="1">
      <c r="A98" s="389"/>
      <c r="B98" s="380"/>
      <c r="C98" s="413"/>
      <c r="D98" s="400"/>
      <c r="E98" s="413"/>
      <c r="F98" s="400"/>
      <c r="G98" s="382"/>
      <c r="H98" s="380"/>
      <c r="I98" s="15"/>
    </row>
    <row r="99" spans="1:9" ht="12.75" customHeight="1">
      <c r="A99" s="389"/>
      <c r="B99" s="380"/>
      <c r="C99" s="413"/>
      <c r="D99" s="400"/>
      <c r="E99" s="413"/>
      <c r="F99" s="400"/>
      <c r="G99" s="382"/>
      <c r="H99" s="380"/>
      <c r="I99" s="15"/>
    </row>
    <row r="100" spans="1:9" ht="12.75" customHeight="1">
      <c r="A100" s="389"/>
      <c r="B100" s="380"/>
      <c r="C100" s="413"/>
      <c r="D100" s="400"/>
      <c r="E100" s="413"/>
      <c r="F100" s="400"/>
      <c r="G100" s="382"/>
      <c r="H100" s="380"/>
      <c r="I100" s="15"/>
    </row>
    <row r="101" spans="1:9" ht="12.75" customHeight="1">
      <c r="A101" s="389"/>
      <c r="B101" s="380"/>
      <c r="C101" s="413"/>
      <c r="D101" s="400"/>
      <c r="E101" s="413"/>
      <c r="F101" s="400"/>
      <c r="G101" s="382"/>
      <c r="H101" s="380"/>
      <c r="I101" s="15"/>
    </row>
    <row r="102" spans="1:9" ht="12.75" customHeight="1">
      <c r="A102" s="389"/>
      <c r="B102" s="380"/>
      <c r="C102" s="413"/>
      <c r="D102" s="400"/>
      <c r="E102" s="413"/>
      <c r="F102" s="400"/>
      <c r="G102" s="382"/>
      <c r="H102" s="380"/>
      <c r="I102" s="15"/>
    </row>
    <row r="103" spans="1:9" ht="12.75" customHeight="1">
      <c r="A103" s="389"/>
      <c r="B103" s="380"/>
      <c r="C103" s="413"/>
      <c r="D103" s="400"/>
      <c r="E103" s="413"/>
      <c r="F103" s="400"/>
      <c r="G103" s="382"/>
      <c r="H103" s="380"/>
      <c r="I103" s="15"/>
    </row>
    <row r="104" spans="1:9" ht="12.75" customHeight="1">
      <c r="A104" s="389"/>
      <c r="B104" s="380"/>
      <c r="C104" s="413"/>
      <c r="D104" s="400"/>
      <c r="E104" s="413"/>
      <c r="F104" s="400"/>
      <c r="G104" s="382"/>
      <c r="H104" s="380"/>
      <c r="I104" s="15"/>
    </row>
    <row r="105" spans="1:9" ht="12.75" customHeight="1">
      <c r="A105" s="389"/>
      <c r="B105" s="380"/>
      <c r="C105" s="413"/>
      <c r="D105" s="400"/>
      <c r="E105" s="413"/>
      <c r="F105" s="400"/>
      <c r="G105" s="382"/>
      <c r="H105" s="380"/>
      <c r="I105" s="15"/>
    </row>
    <row r="106" spans="1:9" ht="12.75" customHeight="1">
      <c r="A106" s="389"/>
      <c r="B106" s="380"/>
      <c r="C106" s="413"/>
      <c r="D106" s="400"/>
      <c r="E106" s="413"/>
      <c r="F106" s="400"/>
      <c r="G106" s="382"/>
      <c r="H106" s="380"/>
      <c r="I106" s="15"/>
    </row>
    <row r="107" spans="1:9" ht="12.75" customHeight="1">
      <c r="A107" s="389"/>
      <c r="B107" s="380"/>
      <c r="C107" s="413"/>
      <c r="D107" s="400"/>
      <c r="E107" s="413"/>
      <c r="F107" s="400"/>
      <c r="G107" s="382"/>
      <c r="H107" s="380"/>
      <c r="I107" s="15"/>
    </row>
    <row r="108" spans="1:9" ht="12.75" customHeight="1">
      <c r="A108" s="389"/>
      <c r="B108" s="380"/>
      <c r="C108" s="413"/>
      <c r="D108" s="400"/>
      <c r="E108" s="413"/>
      <c r="F108" s="400"/>
      <c r="G108" s="382"/>
      <c r="H108" s="380"/>
      <c r="I108" s="15"/>
    </row>
    <row r="109" spans="1:9" ht="12.75" customHeight="1">
      <c r="A109" s="389"/>
      <c r="B109" s="380"/>
      <c r="C109" s="413"/>
      <c r="D109" s="400"/>
      <c r="E109" s="413"/>
      <c r="F109" s="400"/>
      <c r="G109" s="382"/>
      <c r="H109" s="380"/>
      <c r="I109" s="15"/>
    </row>
    <row r="110" spans="1:9" ht="12.75" customHeight="1">
      <c r="A110" s="389"/>
      <c r="B110" s="380"/>
      <c r="C110" s="413"/>
      <c r="D110" s="400"/>
      <c r="E110" s="413"/>
      <c r="F110" s="400"/>
      <c r="G110" s="382"/>
      <c r="H110" s="380"/>
      <c r="I110" s="15"/>
    </row>
    <row r="111" spans="1:9" ht="12.75" customHeight="1">
      <c r="A111" s="389"/>
      <c r="B111" s="380"/>
      <c r="C111" s="413"/>
      <c r="D111" s="400"/>
      <c r="E111" s="413"/>
      <c r="F111" s="400"/>
      <c r="G111" s="382"/>
      <c r="H111" s="380"/>
      <c r="I111" s="15"/>
    </row>
    <row r="112" spans="1:9" ht="12.75" customHeight="1">
      <c r="A112" s="389"/>
      <c r="B112" s="380"/>
      <c r="C112" s="413"/>
      <c r="D112" s="400"/>
      <c r="E112" s="413"/>
      <c r="F112" s="400"/>
      <c r="G112" s="382"/>
      <c r="H112" s="380"/>
      <c r="I112" s="15"/>
    </row>
    <row r="113" spans="1:9" ht="12.75" customHeight="1">
      <c r="A113" s="389"/>
      <c r="B113" s="380"/>
      <c r="C113" s="413"/>
      <c r="D113" s="400"/>
      <c r="E113" s="413"/>
      <c r="F113" s="400"/>
      <c r="G113" s="382"/>
      <c r="H113" s="380"/>
      <c r="I113" s="15"/>
    </row>
    <row r="114" spans="1:9" ht="12.75" customHeight="1">
      <c r="A114" s="389"/>
      <c r="B114" s="380"/>
      <c r="C114" s="413"/>
      <c r="D114" s="400"/>
      <c r="E114" s="413"/>
      <c r="F114" s="400"/>
      <c r="G114" s="382"/>
      <c r="H114" s="380"/>
      <c r="I114" s="15"/>
    </row>
    <row r="115" spans="1:9" ht="12.75" customHeight="1">
      <c r="A115" s="389"/>
      <c r="B115" s="380"/>
      <c r="C115" s="413"/>
      <c r="D115" s="400"/>
      <c r="E115" s="413"/>
      <c r="F115" s="400"/>
      <c r="G115" s="382"/>
      <c r="H115" s="380"/>
      <c r="I115" s="15"/>
    </row>
    <row r="116" spans="1:9" ht="12.75" customHeight="1">
      <c r="A116" s="389"/>
      <c r="B116" s="380"/>
      <c r="C116" s="413"/>
      <c r="D116" s="400"/>
      <c r="E116" s="413"/>
      <c r="F116" s="400"/>
      <c r="G116" s="382"/>
      <c r="H116" s="380"/>
      <c r="I116" s="15"/>
    </row>
    <row r="117" spans="1:9" ht="12.75" customHeight="1">
      <c r="A117" s="389"/>
      <c r="B117" s="380"/>
      <c r="C117" s="413"/>
      <c r="D117" s="400"/>
      <c r="E117" s="413"/>
      <c r="F117" s="400"/>
      <c r="G117" s="382"/>
      <c r="H117" s="380"/>
      <c r="I117" s="15"/>
    </row>
    <row r="118" spans="1:9" ht="12.75" customHeight="1">
      <c r="A118" s="389"/>
      <c r="B118" s="380"/>
      <c r="C118" s="413"/>
      <c r="D118" s="400"/>
      <c r="E118" s="413"/>
      <c r="F118" s="400"/>
      <c r="G118" s="382"/>
      <c r="H118" s="380"/>
      <c r="I118" s="15"/>
    </row>
    <row r="119" spans="1:9" ht="12.75" customHeight="1">
      <c r="A119" s="389"/>
      <c r="B119" s="380"/>
      <c r="C119" s="413"/>
      <c r="D119" s="400"/>
      <c r="E119" s="413"/>
      <c r="F119" s="400"/>
      <c r="G119" s="382"/>
      <c r="H119" s="380"/>
      <c r="I119" s="15"/>
    </row>
    <row r="120" spans="1:9" ht="12.75" customHeight="1">
      <c r="A120" s="389"/>
      <c r="B120" s="380"/>
      <c r="C120" s="413"/>
      <c r="D120" s="400"/>
      <c r="E120" s="413"/>
      <c r="F120" s="400"/>
      <c r="G120" s="382"/>
      <c r="H120" s="380"/>
      <c r="I120" s="15"/>
    </row>
    <row r="121" spans="1:9" ht="12.75" customHeight="1">
      <c r="A121" s="389"/>
      <c r="B121" s="380"/>
      <c r="C121" s="413"/>
      <c r="D121" s="400"/>
      <c r="E121" s="413"/>
      <c r="F121" s="400"/>
      <c r="G121" s="382"/>
      <c r="H121" s="380"/>
      <c r="I121" s="15"/>
    </row>
    <row r="122" spans="1:9" ht="12.75" customHeight="1">
      <c r="A122" s="389"/>
      <c r="B122" s="380"/>
      <c r="C122" s="413"/>
      <c r="D122" s="400"/>
      <c r="E122" s="413"/>
      <c r="F122" s="400"/>
      <c r="G122" s="382"/>
      <c r="H122" s="380"/>
      <c r="I122" s="15"/>
    </row>
    <row r="123" spans="1:9" ht="12.75" customHeight="1">
      <c r="A123" s="389"/>
      <c r="B123" s="380"/>
      <c r="C123" s="413"/>
      <c r="D123" s="400"/>
      <c r="E123" s="413"/>
      <c r="F123" s="400"/>
      <c r="G123" s="382"/>
      <c r="H123" s="380"/>
      <c r="I123" s="15"/>
    </row>
    <row r="124" spans="1:9" ht="12.75" customHeight="1">
      <c r="A124" s="389"/>
      <c r="B124" s="380"/>
      <c r="C124" s="501"/>
      <c r="D124" s="404"/>
      <c r="E124" s="501"/>
      <c r="F124" s="404"/>
      <c r="G124" s="382"/>
      <c r="H124" s="380"/>
      <c r="I124" s="15"/>
    </row>
    <row r="125" spans="1:9" ht="12.75" customHeight="1">
      <c r="A125" s="389"/>
      <c r="B125" s="380"/>
      <c r="C125" s="501"/>
      <c r="D125" s="404"/>
      <c r="E125" s="501"/>
      <c r="F125" s="404"/>
      <c r="G125" s="382"/>
      <c r="H125" s="380"/>
      <c r="I125" s="15"/>
    </row>
    <row r="126" spans="1:9" ht="12.75" customHeight="1">
      <c r="A126" s="392"/>
      <c r="B126" s="380"/>
      <c r="C126" s="413"/>
      <c r="D126" s="400"/>
      <c r="E126" s="413"/>
      <c r="F126" s="400"/>
      <c r="G126" s="382"/>
      <c r="H126" s="380"/>
      <c r="I126" s="15"/>
    </row>
    <row r="127" spans="1:9" ht="12.75" customHeight="1">
      <c r="A127" s="392"/>
      <c r="B127" s="390"/>
      <c r="C127" s="393"/>
      <c r="D127" s="394"/>
      <c r="E127" s="393"/>
      <c r="F127" s="394"/>
      <c r="G127" s="382"/>
      <c r="H127" s="380"/>
      <c r="I127" s="15"/>
    </row>
    <row r="128" spans="1:9" ht="12.75" customHeight="1">
      <c r="A128" s="389"/>
      <c r="B128" s="380"/>
      <c r="C128" s="413"/>
      <c r="D128" s="400"/>
      <c r="E128" s="413"/>
      <c r="F128" s="400"/>
      <c r="G128" s="382"/>
      <c r="H128" s="380"/>
      <c r="I128" s="15"/>
    </row>
    <row r="129" spans="1:9" ht="12.75" customHeight="1">
      <c r="A129" s="389"/>
      <c r="B129" s="380"/>
      <c r="C129" s="413"/>
      <c r="D129" s="400"/>
      <c r="E129" s="413"/>
      <c r="F129" s="400"/>
      <c r="G129" s="382"/>
      <c r="H129" s="380"/>
      <c r="I129" s="15"/>
    </row>
    <row r="130" spans="1:9" ht="12.75" customHeight="1">
      <c r="A130" s="389"/>
      <c r="B130" s="380"/>
      <c r="C130" s="413"/>
      <c r="D130" s="400"/>
      <c r="E130" s="501"/>
      <c r="F130" s="404"/>
      <c r="G130" s="382"/>
      <c r="H130" s="380"/>
      <c r="I130" s="15"/>
    </row>
    <row r="131" spans="1:9" ht="12.75" customHeight="1">
      <c r="A131" s="389"/>
      <c r="B131" s="380"/>
      <c r="C131" s="501"/>
      <c r="D131" s="404"/>
      <c r="E131" s="501"/>
      <c r="F131" s="404"/>
      <c r="G131" s="382"/>
      <c r="H131" s="380"/>
      <c r="I131" s="15"/>
    </row>
    <row r="132" spans="1:9" ht="12.75" customHeight="1">
      <c r="A132" s="389"/>
      <c r="B132" s="380"/>
      <c r="C132" s="501"/>
      <c r="D132" s="404"/>
      <c r="E132" s="501"/>
      <c r="F132" s="404"/>
      <c r="G132" s="382"/>
      <c r="H132" s="380"/>
      <c r="I132" s="15"/>
    </row>
    <row r="133" spans="1:9" ht="12.75" customHeight="1">
      <c r="A133" s="392"/>
      <c r="B133" s="390"/>
      <c r="C133" s="393"/>
      <c r="D133" s="394"/>
      <c r="E133" s="393"/>
      <c r="F133" s="394"/>
      <c r="G133" s="382"/>
      <c r="H133" s="380"/>
      <c r="I133" s="15"/>
    </row>
    <row r="134" spans="1:9" ht="12.75" customHeight="1">
      <c r="A134" s="389"/>
      <c r="B134" s="380"/>
      <c r="C134" s="413"/>
      <c r="D134" s="400"/>
      <c r="E134" s="413"/>
      <c r="F134" s="400"/>
      <c r="G134" s="382"/>
      <c r="H134" s="380"/>
      <c r="I134" s="15"/>
    </row>
    <row r="135" spans="1:9" ht="12.75" customHeight="1">
      <c r="A135" s="389"/>
      <c r="B135" s="380"/>
      <c r="C135" s="501"/>
      <c r="D135" s="404"/>
      <c r="E135" s="501"/>
      <c r="F135" s="404"/>
      <c r="G135" s="382"/>
      <c r="H135" s="380"/>
      <c r="I135" s="15"/>
    </row>
    <row r="136" spans="1:9" ht="12.75" customHeight="1">
      <c r="A136" s="389"/>
      <c r="B136" s="380"/>
      <c r="C136" s="501"/>
      <c r="D136" s="404"/>
      <c r="E136" s="501"/>
      <c r="F136" s="404"/>
      <c r="G136" s="382"/>
      <c r="H136" s="380"/>
      <c r="I136" s="15"/>
    </row>
    <row r="137" spans="1:9" ht="12.75" customHeight="1">
      <c r="A137" s="389"/>
      <c r="B137" s="380"/>
      <c r="C137" s="413"/>
      <c r="D137" s="400"/>
      <c r="E137" s="413"/>
      <c r="F137" s="400"/>
      <c r="G137" s="382"/>
      <c r="H137" s="380"/>
      <c r="I137" s="15"/>
    </row>
    <row r="138" spans="1:9" ht="12.75" customHeight="1">
      <c r="A138" s="392"/>
      <c r="B138" s="390"/>
      <c r="C138" s="393"/>
      <c r="D138" s="394"/>
      <c r="E138" s="393"/>
      <c r="F138" s="394"/>
      <c r="G138" s="382"/>
      <c r="H138" s="380"/>
      <c r="I138" s="15"/>
    </row>
    <row r="139" spans="1:9" ht="12.75" customHeight="1">
      <c r="A139" s="389"/>
      <c r="B139" s="380"/>
      <c r="C139" s="413"/>
      <c r="D139" s="400"/>
      <c r="E139" s="413"/>
      <c r="F139" s="400"/>
      <c r="G139" s="382"/>
      <c r="H139" s="380"/>
      <c r="I139" s="15"/>
    </row>
    <row r="140" spans="1:9" ht="12.75" customHeight="1">
      <c r="A140" s="389"/>
      <c r="B140" s="380"/>
      <c r="C140" s="413"/>
      <c r="D140" s="400"/>
      <c r="E140" s="501"/>
      <c r="F140" s="404"/>
      <c r="G140" s="382"/>
      <c r="H140" s="380"/>
      <c r="I140" s="15"/>
    </row>
    <row r="141" spans="1:9" ht="12.75" customHeight="1">
      <c r="A141" s="389"/>
      <c r="B141" s="380"/>
      <c r="C141" s="501"/>
      <c r="D141" s="404"/>
      <c r="E141" s="501"/>
      <c r="F141" s="404"/>
      <c r="G141" s="382"/>
      <c r="H141" s="380"/>
      <c r="I141" s="15"/>
    </row>
    <row r="142" spans="1:9" ht="12.75" customHeight="1">
      <c r="A142" s="389"/>
      <c r="B142" s="380"/>
      <c r="C142" s="501"/>
      <c r="D142" s="404"/>
      <c r="E142" s="501"/>
      <c r="F142" s="404"/>
      <c r="G142" s="382"/>
      <c r="H142" s="380"/>
      <c r="I142" s="15"/>
    </row>
    <row r="143" spans="1:9" ht="12.75" customHeight="1">
      <c r="A143" s="389"/>
      <c r="B143" s="380"/>
      <c r="C143" s="501"/>
      <c r="D143" s="400"/>
      <c r="F143" s="400"/>
      <c r="G143" s="382"/>
      <c r="H143" s="501"/>
      <c r="I143" s="15"/>
    </row>
    <row r="144" spans="1:9" ht="12.75" customHeight="1">
      <c r="A144" s="392"/>
      <c r="B144" s="390"/>
      <c r="C144" s="393"/>
      <c r="D144" s="394"/>
      <c r="E144" s="393"/>
      <c r="F144" s="394"/>
      <c r="G144" s="502"/>
      <c r="H144" s="390"/>
      <c r="I144" s="15"/>
    </row>
    <row r="145" spans="1:9" ht="12.75" customHeight="1">
      <c r="A145" s="389"/>
      <c r="B145" s="380"/>
      <c r="C145" s="413"/>
      <c r="D145" s="400"/>
      <c r="E145" s="624"/>
      <c r="F145" s="415"/>
      <c r="G145" s="498"/>
      <c r="H145" s="500"/>
      <c r="I145" s="15"/>
    </row>
    <row r="146" spans="1:9" ht="12.75" customHeight="1">
      <c r="A146" s="389"/>
      <c r="B146" s="390"/>
      <c r="C146" s="393"/>
      <c r="D146" s="394"/>
      <c r="E146" s="625"/>
      <c r="F146" s="424"/>
      <c r="G146" s="626"/>
      <c r="H146" s="555"/>
      <c r="I146" s="15"/>
    </row>
    <row r="147" spans="1:9" ht="12.75" customHeight="1">
      <c r="A147" s="389"/>
      <c r="B147" s="390"/>
      <c r="C147" s="393"/>
      <c r="D147" s="394"/>
      <c r="E147" s="625"/>
      <c r="F147" s="424"/>
      <c r="G147" s="626"/>
      <c r="H147" s="555"/>
      <c r="I147" s="15"/>
    </row>
    <row r="148" spans="1:9" ht="12.75" customHeight="1">
      <c r="A148" s="392"/>
      <c r="B148" s="380"/>
      <c r="C148" s="393"/>
      <c r="D148" s="394"/>
      <c r="E148" s="393"/>
      <c r="F148" s="394"/>
      <c r="G148" s="382"/>
      <c r="H148" s="380"/>
      <c r="I148" s="15"/>
    </row>
    <row r="149" spans="1:9" ht="12.75" customHeight="1">
      <c r="A149" s="141"/>
      <c r="B149" s="138"/>
      <c r="C149" s="142"/>
      <c r="D149" s="584"/>
      <c r="E149" s="142"/>
      <c r="F149" s="585"/>
      <c r="G149" s="138"/>
      <c r="H149" s="586"/>
      <c r="I149" s="15"/>
    </row>
    <row r="150" spans="1:9" ht="12.75" customHeight="1">
      <c r="A150" s="141"/>
      <c r="B150" s="138"/>
      <c r="C150" s="142"/>
      <c r="D150" s="584"/>
      <c r="E150" s="142"/>
      <c r="F150" s="585"/>
      <c r="G150" s="138"/>
      <c r="H150" s="586"/>
      <c r="I150" s="15"/>
    </row>
    <row r="151" spans="1:9" ht="12.75" customHeight="1">
      <c r="A151" s="141"/>
      <c r="B151" s="138"/>
      <c r="C151" s="142"/>
      <c r="D151" s="584"/>
      <c r="E151" s="142"/>
      <c r="F151" s="585"/>
      <c r="G151" s="138"/>
      <c r="H151" s="586"/>
      <c r="I151" s="15"/>
    </row>
    <row r="152" spans="1:9" ht="12.75" customHeight="1">
      <c r="A152" s="141"/>
      <c r="B152" s="138"/>
      <c r="C152" s="142"/>
      <c r="D152" s="584"/>
      <c r="E152" s="142"/>
      <c r="F152" s="585"/>
      <c r="G152" s="138"/>
      <c r="H152" s="586"/>
      <c r="I152" s="15"/>
    </row>
    <row r="153" spans="1:9" ht="12.75" customHeight="1">
      <c r="A153" s="141"/>
      <c r="B153" s="138"/>
      <c r="C153" s="142"/>
      <c r="D153" s="584"/>
      <c r="E153" s="142"/>
      <c r="F153" s="585"/>
      <c r="G153" s="138"/>
      <c r="H153" s="586"/>
      <c r="I153" s="15"/>
    </row>
    <row r="154" spans="1:9" ht="12.75" customHeight="1">
      <c r="A154" s="141"/>
      <c r="B154" s="138"/>
      <c r="C154" s="142"/>
      <c r="D154" s="584"/>
      <c r="E154" s="142"/>
      <c r="F154" s="585"/>
      <c r="G154" s="138"/>
      <c r="H154" s="586"/>
      <c r="I154" s="15"/>
    </row>
    <row r="155" spans="1:9" ht="12.75" customHeight="1">
      <c r="A155" s="141"/>
      <c r="B155" s="138"/>
      <c r="C155" s="142"/>
      <c r="D155" s="584"/>
      <c r="E155" s="142"/>
      <c r="F155" s="585"/>
      <c r="G155" s="138"/>
      <c r="H155" s="586"/>
      <c r="I155" s="15"/>
    </row>
    <row r="156" spans="1:9" ht="12.75" customHeight="1">
      <c r="A156" s="141"/>
      <c r="B156" s="138"/>
      <c r="C156" s="142"/>
      <c r="D156" s="584"/>
      <c r="E156" s="142"/>
      <c r="F156" s="585"/>
      <c r="G156" s="138"/>
      <c r="H156" s="586"/>
      <c r="I156" s="15"/>
    </row>
    <row r="157" spans="1:9" ht="12.75" customHeight="1">
      <c r="A157" s="141"/>
      <c r="B157" s="138"/>
      <c r="C157" s="142"/>
      <c r="D157" s="584"/>
      <c r="E157" s="142"/>
      <c r="F157" s="585"/>
      <c r="G157" s="138"/>
      <c r="H157" s="586"/>
      <c r="I157" s="15"/>
    </row>
    <row r="158" spans="1:9" ht="12.75" customHeight="1">
      <c r="A158" s="141"/>
      <c r="B158" s="138"/>
      <c r="C158" s="142"/>
      <c r="D158" s="584"/>
      <c r="E158" s="142"/>
      <c r="F158" s="585"/>
      <c r="G158" s="138"/>
      <c r="H158" s="586"/>
      <c r="I158" s="15"/>
    </row>
    <row r="159" spans="1:9" ht="12.75" customHeight="1">
      <c r="A159" s="141"/>
      <c r="B159" s="138"/>
      <c r="C159" s="142"/>
      <c r="D159" s="584"/>
      <c r="E159" s="142"/>
      <c r="F159" s="585"/>
      <c r="G159" s="138"/>
      <c r="H159" s="586"/>
      <c r="I159" s="15"/>
    </row>
    <row r="160" spans="1:9" ht="12.75" customHeight="1">
      <c r="A160" s="141"/>
      <c r="B160" s="138"/>
      <c r="C160" s="142"/>
      <c r="D160" s="584"/>
      <c r="E160" s="142"/>
      <c r="F160" s="585"/>
      <c r="G160" s="138"/>
      <c r="H160" s="586"/>
      <c r="I160" s="15"/>
    </row>
    <row r="161" spans="1:9" ht="12.75" customHeight="1">
      <c r="A161" s="141"/>
      <c r="B161" s="138"/>
      <c r="C161" s="142"/>
      <c r="D161" s="584"/>
      <c r="E161" s="142"/>
      <c r="F161" s="585"/>
      <c r="G161" s="138"/>
      <c r="H161" s="586"/>
      <c r="I161" s="15"/>
    </row>
    <row r="162" spans="1:9" ht="12.75" customHeight="1">
      <c r="A162" s="141"/>
      <c r="B162" s="138"/>
      <c r="C162" s="142"/>
      <c r="D162" s="584"/>
      <c r="E162" s="142"/>
      <c r="F162" s="585"/>
      <c r="G162" s="138"/>
      <c r="H162" s="586"/>
      <c r="I162" s="15"/>
    </row>
    <row r="163" spans="1:9" ht="12.75" customHeight="1">
      <c r="A163" s="141"/>
      <c r="B163" s="138"/>
      <c r="C163" s="142"/>
      <c r="D163" s="584"/>
      <c r="E163" s="142"/>
      <c r="F163" s="585"/>
      <c r="G163" s="138"/>
      <c r="H163" s="586"/>
      <c r="I163" s="15"/>
    </row>
    <row r="164" spans="1:9" ht="12.75" customHeight="1">
      <c r="A164" s="141"/>
      <c r="B164" s="138"/>
      <c r="C164" s="142"/>
      <c r="D164" s="584"/>
      <c r="E164" s="142"/>
      <c r="F164" s="585"/>
      <c r="G164" s="138"/>
      <c r="H164" s="586"/>
      <c r="I164" s="15"/>
    </row>
    <row r="165" spans="1:9" ht="12.75" customHeight="1">
      <c r="A165" s="141"/>
      <c r="B165" s="138"/>
      <c r="C165" s="142"/>
      <c r="D165" s="584"/>
      <c r="E165" s="142"/>
      <c r="F165" s="585"/>
      <c r="G165" s="138"/>
      <c r="H165" s="586"/>
      <c r="I165" s="15"/>
    </row>
    <row r="166" spans="1:9" ht="12.75" customHeight="1">
      <c r="A166" s="141"/>
      <c r="B166" s="138"/>
      <c r="C166" s="142"/>
      <c r="D166" s="584"/>
      <c r="E166" s="142"/>
      <c r="F166" s="585"/>
      <c r="G166" s="138"/>
      <c r="H166" s="586"/>
      <c r="I166" s="15"/>
    </row>
    <row r="167" spans="1:9" ht="12.75" customHeight="1">
      <c r="A167" s="141"/>
      <c r="B167" s="138"/>
      <c r="C167" s="142"/>
      <c r="D167" s="584"/>
      <c r="E167" s="142"/>
      <c r="F167" s="585"/>
      <c r="G167" s="138"/>
      <c r="H167" s="586"/>
      <c r="I167" s="15"/>
    </row>
    <row r="168" spans="1:9" ht="12.75" customHeight="1">
      <c r="A168" s="141"/>
      <c r="B168" s="138"/>
      <c r="C168" s="142"/>
      <c r="D168" s="584"/>
      <c r="E168" s="142"/>
      <c r="F168" s="585"/>
      <c r="G168" s="138"/>
      <c r="H168" s="586"/>
      <c r="I168" s="15"/>
    </row>
    <row r="169" spans="1:9" ht="12.75" customHeight="1">
      <c r="A169" s="141"/>
      <c r="B169" s="138"/>
      <c r="C169" s="142"/>
      <c r="D169" s="584"/>
      <c r="E169" s="142"/>
      <c r="F169" s="585"/>
      <c r="G169" s="138"/>
      <c r="H169" s="586"/>
      <c r="I169" s="15"/>
    </row>
    <row r="170" spans="1:9" ht="12.75" customHeight="1">
      <c r="A170" s="141"/>
      <c r="B170" s="138"/>
      <c r="C170" s="142"/>
      <c r="D170" s="584"/>
      <c r="E170" s="142"/>
      <c r="F170" s="585"/>
      <c r="G170" s="138"/>
      <c r="H170" s="586"/>
      <c r="I170" s="15"/>
    </row>
    <row r="171" spans="1:9" ht="12.75" customHeight="1">
      <c r="A171" s="141"/>
      <c r="B171" s="138"/>
      <c r="C171" s="142"/>
      <c r="D171" s="584"/>
      <c r="E171" s="142"/>
      <c r="F171" s="585"/>
      <c r="G171" s="138"/>
      <c r="H171" s="586"/>
      <c r="I171" s="15"/>
    </row>
    <row r="172" spans="1:9" ht="12.75" customHeight="1">
      <c r="A172" s="141"/>
      <c r="B172" s="138"/>
      <c r="C172" s="142"/>
      <c r="D172" s="584"/>
      <c r="E172" s="142"/>
      <c r="F172" s="585"/>
      <c r="G172" s="138"/>
      <c r="H172" s="586"/>
      <c r="I172" s="15"/>
    </row>
    <row r="173" spans="1:9" ht="12.75" customHeight="1">
      <c r="A173" s="141"/>
      <c r="B173" s="138"/>
      <c r="C173" s="142"/>
      <c r="D173" s="584"/>
      <c r="E173" s="142"/>
      <c r="F173" s="585"/>
      <c r="G173" s="138"/>
      <c r="H173" s="586"/>
      <c r="I173" s="15"/>
    </row>
    <row r="174" spans="1:9" ht="12.75" customHeight="1">
      <c r="A174" s="141"/>
      <c r="B174" s="138"/>
      <c r="C174" s="142"/>
      <c r="D174" s="584"/>
      <c r="E174" s="142"/>
      <c r="F174" s="585"/>
      <c r="G174" s="138"/>
      <c r="H174" s="586"/>
      <c r="I174" s="15"/>
    </row>
    <row r="175" spans="1:9" ht="12.75" customHeight="1">
      <c r="A175" s="141"/>
      <c r="B175" s="138"/>
      <c r="C175" s="142"/>
      <c r="D175" s="584"/>
      <c r="E175" s="142"/>
      <c r="F175" s="585"/>
      <c r="G175" s="138"/>
      <c r="H175" s="586"/>
      <c r="I175" s="15"/>
    </row>
    <row r="176" spans="1:9" ht="12.75" customHeight="1">
      <c r="A176" s="141"/>
      <c r="B176" s="138"/>
      <c r="C176" s="142"/>
      <c r="D176" s="584"/>
      <c r="E176" s="142"/>
      <c r="F176" s="585"/>
      <c r="G176" s="138"/>
      <c r="H176" s="586"/>
      <c r="I176" s="15"/>
    </row>
    <row r="177" spans="1:9" ht="12.75" customHeight="1">
      <c r="A177" s="141"/>
      <c r="B177" s="138"/>
      <c r="C177" s="142"/>
      <c r="D177" s="584"/>
      <c r="E177" s="142"/>
      <c r="F177" s="585"/>
      <c r="G177" s="138"/>
      <c r="H177" s="586"/>
      <c r="I177" s="15"/>
    </row>
    <row r="178" spans="1:9" ht="12.75" customHeight="1">
      <c r="A178" s="141"/>
      <c r="B178" s="138"/>
      <c r="C178" s="142"/>
      <c r="D178" s="584"/>
      <c r="E178" s="142"/>
      <c r="F178" s="585"/>
      <c r="G178" s="138"/>
      <c r="H178" s="586"/>
      <c r="I178" s="15"/>
    </row>
    <row r="179" spans="1:9" ht="12.75" customHeight="1">
      <c r="A179" s="141"/>
      <c r="B179" s="138"/>
      <c r="C179" s="142"/>
      <c r="D179" s="584"/>
      <c r="E179" s="142"/>
      <c r="F179" s="585"/>
      <c r="G179" s="138"/>
      <c r="H179" s="586"/>
      <c r="I179" s="15"/>
    </row>
    <row r="180" spans="1:9" ht="12.75" customHeight="1">
      <c r="A180" s="141"/>
      <c r="B180" s="138"/>
      <c r="C180" s="142"/>
      <c r="D180" s="584"/>
      <c r="E180" s="142"/>
      <c r="F180" s="585"/>
      <c r="G180" s="138"/>
      <c r="H180" s="586"/>
      <c r="I180" s="15"/>
    </row>
    <row r="181" spans="1:9" ht="12.75" customHeight="1">
      <c r="A181" s="141"/>
      <c r="B181" s="138"/>
      <c r="C181" s="142"/>
      <c r="D181" s="584"/>
      <c r="E181" s="142"/>
      <c r="F181" s="585"/>
      <c r="G181" s="138"/>
      <c r="H181" s="586"/>
      <c r="I181" s="15"/>
    </row>
    <row r="182" spans="1:9" ht="12.75" customHeight="1">
      <c r="A182" s="141"/>
      <c r="B182" s="138"/>
      <c r="C182" s="142"/>
      <c r="D182" s="584"/>
      <c r="E182" s="142"/>
      <c r="F182" s="585"/>
      <c r="G182" s="138"/>
      <c r="H182" s="586"/>
      <c r="I182" s="15"/>
    </row>
    <row r="183" spans="1:9" ht="12.75" customHeight="1">
      <c r="A183" s="141"/>
      <c r="B183" s="138"/>
      <c r="C183" s="142"/>
      <c r="D183" s="584"/>
      <c r="E183" s="142"/>
      <c r="F183" s="585"/>
      <c r="G183" s="138"/>
      <c r="H183" s="586"/>
      <c r="I183" s="15"/>
    </row>
    <row r="184" spans="1:9" ht="12.75" customHeight="1">
      <c r="A184" s="141"/>
      <c r="B184" s="138"/>
      <c r="C184" s="142"/>
      <c r="D184" s="584"/>
      <c r="E184" s="142"/>
      <c r="F184" s="585"/>
      <c r="G184" s="138"/>
      <c r="H184" s="586"/>
      <c r="I184" s="15"/>
    </row>
    <row r="185" spans="1:9" ht="12.75" customHeight="1">
      <c r="A185" s="141"/>
      <c r="B185" s="138"/>
      <c r="C185" s="142"/>
      <c r="D185" s="584"/>
      <c r="E185" s="142"/>
      <c r="F185" s="585"/>
      <c r="G185" s="138"/>
      <c r="H185" s="586"/>
      <c r="I185" s="15"/>
    </row>
    <row r="186" spans="1:9" ht="12.75" customHeight="1">
      <c r="A186" s="141"/>
      <c r="B186" s="138"/>
      <c r="C186" s="142"/>
      <c r="D186" s="584"/>
      <c r="E186" s="142"/>
      <c r="F186" s="585"/>
      <c r="G186" s="138"/>
      <c r="H186" s="586"/>
      <c r="I186" s="15"/>
    </row>
    <row r="187" spans="1:9" ht="12.75" customHeight="1">
      <c r="A187" s="141"/>
      <c r="B187" s="138"/>
      <c r="C187" s="142"/>
      <c r="D187" s="584"/>
      <c r="E187" s="142"/>
      <c r="F187" s="585"/>
      <c r="G187" s="138"/>
      <c r="H187" s="586"/>
      <c r="I187" s="15"/>
    </row>
    <row r="188" spans="1:9" ht="12.75" customHeight="1">
      <c r="A188" s="141"/>
      <c r="B188" s="138"/>
      <c r="C188" s="142"/>
      <c r="D188" s="584"/>
      <c r="E188" s="142"/>
      <c r="F188" s="585"/>
      <c r="G188" s="138"/>
      <c r="H188" s="586"/>
      <c r="I188" s="15"/>
    </row>
    <row r="189" spans="1:9" ht="12.75" customHeight="1">
      <c r="A189" s="141"/>
      <c r="B189" s="138"/>
      <c r="C189" s="142"/>
      <c r="D189" s="584"/>
      <c r="E189" s="142"/>
      <c r="F189" s="585"/>
      <c r="G189" s="138"/>
      <c r="H189" s="586"/>
      <c r="I189" s="15"/>
    </row>
    <row r="190" spans="1:9" ht="12.75" customHeight="1">
      <c r="A190" s="141"/>
      <c r="B190" s="138"/>
      <c r="C190" s="142"/>
      <c r="D190" s="584"/>
      <c r="E190" s="142"/>
      <c r="F190" s="585"/>
      <c r="G190" s="138"/>
      <c r="H190" s="586"/>
      <c r="I190" s="15"/>
    </row>
    <row r="191" spans="1:9" ht="12.75" customHeight="1">
      <c r="A191" s="141"/>
      <c r="B191" s="138"/>
      <c r="C191" s="142"/>
      <c r="D191" s="584"/>
      <c r="E191" s="142"/>
      <c r="F191" s="585"/>
      <c r="G191" s="138"/>
      <c r="H191" s="586"/>
      <c r="I191" s="15"/>
    </row>
    <row r="192" spans="1:9" ht="12.75" customHeight="1">
      <c r="A192" s="141"/>
      <c r="B192" s="138"/>
      <c r="C192" s="142"/>
      <c r="D192" s="584"/>
      <c r="E192" s="142"/>
      <c r="F192" s="585"/>
      <c r="G192" s="138"/>
      <c r="H192" s="586"/>
      <c r="I192" s="15"/>
    </row>
    <row r="193" spans="1:9" ht="12.75" customHeight="1">
      <c r="A193" s="141"/>
      <c r="B193" s="138"/>
      <c r="C193" s="587"/>
      <c r="D193" s="588"/>
      <c r="E193" s="587"/>
      <c r="F193" s="589"/>
      <c r="G193" s="138"/>
      <c r="H193" s="586"/>
      <c r="I193" s="15"/>
    </row>
    <row r="194" spans="1:9" ht="12.75" customHeight="1">
      <c r="A194" s="143"/>
      <c r="B194" s="144"/>
      <c r="C194" s="145"/>
      <c r="D194" s="590"/>
      <c r="E194" s="145"/>
      <c r="F194" s="591"/>
      <c r="G194" s="138"/>
      <c r="H194" s="586"/>
      <c r="I194" s="15"/>
    </row>
    <row r="195" spans="1:9" ht="12.75" customHeight="1">
      <c r="A195" s="146"/>
      <c r="B195" s="144"/>
      <c r="C195" s="145"/>
      <c r="D195" s="590"/>
      <c r="E195" s="145"/>
      <c r="F195" s="591"/>
      <c r="G195" s="138"/>
      <c r="H195" s="586"/>
      <c r="I195" s="15"/>
    </row>
    <row r="196" spans="1:9" ht="12.75" customHeight="1">
      <c r="A196" s="146"/>
      <c r="B196" s="144"/>
      <c r="C196" s="145"/>
      <c r="D196" s="590"/>
      <c r="E196" s="145"/>
      <c r="F196" s="592"/>
      <c r="G196" s="138"/>
      <c r="H196" s="586"/>
      <c r="I196" s="15"/>
    </row>
    <row r="197" spans="1:9" ht="12.75" customHeight="1">
      <c r="A197" s="143"/>
      <c r="B197" s="144"/>
      <c r="C197" s="593"/>
      <c r="D197" s="594"/>
      <c r="E197" s="595"/>
      <c r="F197" s="596"/>
      <c r="G197" s="138"/>
      <c r="H197" s="586"/>
      <c r="I197" s="15"/>
    </row>
    <row r="198" spans="1:9" ht="12.75" customHeight="1">
      <c r="A198" s="143"/>
      <c r="B198" s="144"/>
      <c r="C198" s="147"/>
      <c r="D198" s="597"/>
      <c r="E198" s="147"/>
      <c r="F198" s="598"/>
      <c r="G198" s="138"/>
      <c r="H198" s="586"/>
      <c r="I198" s="15"/>
    </row>
    <row r="199" spans="1:9" ht="12.75" customHeight="1">
      <c r="A199" s="143"/>
      <c r="B199" s="144"/>
      <c r="C199" s="147"/>
      <c r="D199" s="597"/>
      <c r="E199" s="145"/>
      <c r="F199" s="599"/>
      <c r="G199" s="138"/>
      <c r="H199" s="586"/>
      <c r="I199" s="15"/>
    </row>
    <row r="200" spans="1:9" ht="12.75" customHeight="1">
      <c r="A200" s="143"/>
      <c r="B200" s="144"/>
      <c r="C200" s="145"/>
      <c r="D200" s="590"/>
      <c r="E200" s="145"/>
      <c r="F200" s="599"/>
      <c r="G200" s="138"/>
      <c r="H200" s="586"/>
      <c r="I200" s="15"/>
    </row>
    <row r="201" spans="1:9" ht="12.75" customHeight="1">
      <c r="A201" s="143"/>
      <c r="B201" s="144"/>
      <c r="C201" s="145"/>
      <c r="D201" s="590"/>
      <c r="E201" s="145"/>
      <c r="F201" s="599"/>
      <c r="G201" s="138"/>
      <c r="H201" s="586"/>
      <c r="I201" s="15"/>
    </row>
    <row r="202" spans="1:9" ht="12.75" customHeight="1">
      <c r="A202" s="146"/>
      <c r="B202" s="144"/>
      <c r="C202" s="145"/>
      <c r="D202" s="590"/>
      <c r="E202" s="145"/>
      <c r="F202" s="592"/>
      <c r="G202" s="138"/>
      <c r="H202" s="586"/>
      <c r="I202" s="15"/>
    </row>
    <row r="203" spans="1:9" ht="12.75" customHeight="1">
      <c r="A203" s="143"/>
      <c r="B203" s="144"/>
      <c r="C203" s="147"/>
      <c r="D203" s="597"/>
      <c r="E203" s="147"/>
      <c r="F203" s="600"/>
      <c r="G203" s="138"/>
      <c r="H203" s="586"/>
      <c r="I203" s="15"/>
    </row>
    <row r="204" spans="1:9" ht="12.75" customHeight="1">
      <c r="A204" s="143"/>
      <c r="B204" s="144"/>
      <c r="C204" s="145"/>
      <c r="D204" s="590"/>
      <c r="E204" s="145"/>
      <c r="F204" s="592"/>
      <c r="G204" s="138"/>
      <c r="H204" s="586"/>
      <c r="I204" s="15"/>
    </row>
    <row r="205" spans="1:9" ht="12.75" customHeight="1">
      <c r="A205" s="143"/>
      <c r="B205" s="144"/>
      <c r="C205" s="145"/>
      <c r="D205" s="590"/>
      <c r="E205" s="145"/>
      <c r="F205" s="592"/>
      <c r="G205" s="138"/>
      <c r="H205" s="586"/>
      <c r="I205" s="15"/>
    </row>
    <row r="206" spans="1:9" ht="12.75" customHeight="1">
      <c r="A206" s="143"/>
      <c r="B206" s="144"/>
      <c r="C206" s="145"/>
      <c r="D206" s="590"/>
      <c r="E206" s="145"/>
      <c r="F206" s="592"/>
      <c r="G206" s="138"/>
      <c r="H206" s="586"/>
      <c r="I206" s="15"/>
    </row>
    <row r="207" spans="1:9" ht="12.75" customHeight="1">
      <c r="A207" s="146"/>
      <c r="B207" s="144"/>
      <c r="C207" s="145"/>
      <c r="D207" s="590"/>
      <c r="E207" s="145"/>
      <c r="F207" s="591"/>
      <c r="G207" s="138"/>
      <c r="H207" s="586"/>
      <c r="I207" s="15"/>
    </row>
    <row r="208" spans="1:9" ht="12.75" customHeight="1">
      <c r="A208" s="143"/>
      <c r="B208" s="144"/>
      <c r="C208" s="593"/>
      <c r="D208" s="594"/>
      <c r="E208" s="142"/>
      <c r="F208" s="596"/>
      <c r="G208" s="138"/>
      <c r="H208" s="586"/>
      <c r="I208" s="15"/>
    </row>
    <row r="209" spans="1:9" ht="12.75" customHeight="1">
      <c r="A209" s="143"/>
      <c r="B209" s="144"/>
      <c r="C209" s="147"/>
      <c r="D209" s="597"/>
      <c r="E209" s="145"/>
      <c r="F209" s="592"/>
      <c r="G209" s="138"/>
      <c r="H209" s="586"/>
      <c r="I209" s="15"/>
    </row>
    <row r="210" spans="1:9" ht="12.75" customHeight="1">
      <c r="A210" s="143"/>
      <c r="B210" s="144"/>
      <c r="C210" s="145"/>
      <c r="D210" s="590"/>
      <c r="E210" s="145"/>
      <c r="F210" s="592"/>
      <c r="G210" s="138"/>
      <c r="H210" s="586"/>
      <c r="I210" s="15"/>
    </row>
    <row r="211" spans="1:9" ht="12.75" customHeight="1">
      <c r="A211" s="143"/>
      <c r="B211" s="144"/>
      <c r="C211" s="145"/>
      <c r="D211" s="590"/>
      <c r="E211" s="145"/>
      <c r="F211" s="592"/>
      <c r="G211" s="138"/>
      <c r="H211" s="586"/>
      <c r="I211" s="15"/>
    </row>
    <row r="212" spans="1:9" ht="12.75" customHeight="1">
      <c r="A212" s="143"/>
      <c r="B212" s="144"/>
      <c r="C212" s="145"/>
      <c r="D212" s="590"/>
      <c r="E212" s="601"/>
      <c r="F212" s="591"/>
      <c r="G212" s="145"/>
      <c r="H212" s="586"/>
      <c r="I212" s="15"/>
    </row>
    <row r="213" spans="1:10" ht="12.75" customHeight="1">
      <c r="A213" s="602"/>
      <c r="B213" s="603"/>
      <c r="C213" s="604"/>
      <c r="D213" s="605"/>
      <c r="E213" s="604"/>
      <c r="F213" s="606"/>
      <c r="G213" s="607"/>
      <c r="H213" s="608"/>
      <c r="I213" s="15"/>
      <c r="J213" s="552"/>
    </row>
    <row r="214" spans="1:10" ht="12.75" customHeight="1">
      <c r="A214" s="143"/>
      <c r="B214" s="609"/>
      <c r="C214" s="610"/>
      <c r="D214" s="597"/>
      <c r="E214" s="609"/>
      <c r="F214" s="610"/>
      <c r="G214" s="597"/>
      <c r="H214" s="597"/>
      <c r="I214" s="15"/>
      <c r="J214" s="552"/>
    </row>
    <row r="215" spans="1:10" ht="12.75" customHeight="1">
      <c r="A215" s="143"/>
      <c r="B215" s="611"/>
      <c r="C215" s="612"/>
      <c r="D215" s="590"/>
      <c r="E215" s="611"/>
      <c r="F215" s="613"/>
      <c r="G215" s="614"/>
      <c r="H215" s="615"/>
      <c r="I215" s="15"/>
      <c r="J215" s="552"/>
    </row>
    <row r="216" spans="1:9" ht="12.75" customHeight="1">
      <c r="A216" s="143"/>
      <c r="B216" s="611"/>
      <c r="C216" s="612"/>
      <c r="D216" s="590"/>
      <c r="E216" s="611"/>
      <c r="F216" s="613"/>
      <c r="G216" s="614"/>
      <c r="H216" s="615"/>
      <c r="I216" s="15"/>
    </row>
    <row r="217" spans="1:9" ht="12.75" customHeight="1">
      <c r="A217" s="143"/>
      <c r="B217" s="616"/>
      <c r="C217" s="145"/>
      <c r="D217" s="590"/>
      <c r="E217" s="616"/>
      <c r="F217" s="617"/>
      <c r="G217" s="591"/>
      <c r="H217" s="618"/>
      <c r="I217" s="15"/>
    </row>
    <row r="218" spans="1:9" ht="12.75" customHeight="1">
      <c r="A218" s="395"/>
      <c r="B218" s="396"/>
      <c r="C218" s="397"/>
      <c r="D218" s="398"/>
      <c r="E218" s="399"/>
      <c r="F218" s="400"/>
      <c r="G218" s="444"/>
      <c r="H218" s="396"/>
      <c r="I218" s="15"/>
    </row>
    <row r="219" spans="1:9" ht="12.75" customHeight="1">
      <c r="A219" s="395"/>
      <c r="B219" s="396"/>
      <c r="C219" s="397"/>
      <c r="D219" s="398"/>
      <c r="E219" s="399"/>
      <c r="F219" s="400"/>
      <c r="G219" s="444"/>
      <c r="H219" s="396"/>
      <c r="I219" s="15"/>
    </row>
    <row r="220" spans="1:9" ht="12.75" customHeight="1">
      <c r="A220" s="395"/>
      <c r="B220" s="396"/>
      <c r="C220" s="397"/>
      <c r="D220" s="398"/>
      <c r="E220" s="399"/>
      <c r="F220" s="400"/>
      <c r="G220" s="444"/>
      <c r="H220" s="396"/>
      <c r="I220" s="15"/>
    </row>
    <row r="221" spans="1:9" ht="12.75" customHeight="1">
      <c r="A221" s="395"/>
      <c r="B221" s="396"/>
      <c r="C221" s="397"/>
      <c r="D221" s="398"/>
      <c r="E221" s="399"/>
      <c r="F221" s="400"/>
      <c r="G221" s="444"/>
      <c r="H221" s="396"/>
      <c r="I221" s="15"/>
    </row>
    <row r="222" spans="1:9" ht="12.75" customHeight="1">
      <c r="A222" s="395"/>
      <c r="B222" s="396"/>
      <c r="C222" s="397"/>
      <c r="D222" s="398"/>
      <c r="E222" s="399"/>
      <c r="F222" s="400"/>
      <c r="G222" s="444"/>
      <c r="H222" s="396"/>
      <c r="I222" s="15"/>
    </row>
    <row r="223" spans="1:9" ht="12.75" customHeight="1">
      <c r="A223" s="395"/>
      <c r="B223" s="396"/>
      <c r="C223" s="397"/>
      <c r="D223" s="398"/>
      <c r="E223" s="399"/>
      <c r="F223" s="400"/>
      <c r="G223" s="444"/>
      <c r="H223" s="396"/>
      <c r="I223" s="15"/>
    </row>
    <row r="224" spans="1:9" ht="12.75" customHeight="1">
      <c r="A224" s="395"/>
      <c r="B224" s="396"/>
      <c r="C224" s="397"/>
      <c r="D224" s="398"/>
      <c r="E224" s="399"/>
      <c r="F224" s="400"/>
      <c r="G224" s="444"/>
      <c r="H224" s="396"/>
      <c r="I224" s="15"/>
    </row>
    <row r="225" spans="1:9" ht="12.75" customHeight="1">
      <c r="A225" s="395"/>
      <c r="B225" s="396"/>
      <c r="C225" s="397"/>
      <c r="D225" s="398"/>
      <c r="E225" s="399"/>
      <c r="F225" s="400"/>
      <c r="G225" s="444"/>
      <c r="H225" s="396"/>
      <c r="I225" s="15"/>
    </row>
    <row r="226" spans="1:9" ht="12.75" customHeight="1">
      <c r="A226" s="395"/>
      <c r="B226" s="396"/>
      <c r="C226" s="397"/>
      <c r="D226" s="398"/>
      <c r="E226" s="399"/>
      <c r="F226" s="400"/>
      <c r="G226" s="444"/>
      <c r="H226" s="396"/>
      <c r="I226" s="15"/>
    </row>
    <row r="227" spans="1:9" ht="12.75" customHeight="1">
      <c r="A227" s="395"/>
      <c r="B227" s="396"/>
      <c r="C227" s="397"/>
      <c r="D227" s="398"/>
      <c r="E227" s="399"/>
      <c r="F227" s="400"/>
      <c r="G227" s="444"/>
      <c r="H227" s="396"/>
      <c r="I227" s="15"/>
    </row>
    <row r="228" spans="1:9" ht="12.75" customHeight="1">
      <c r="A228" s="395"/>
      <c r="B228" s="396"/>
      <c r="C228" s="397"/>
      <c r="D228" s="398"/>
      <c r="E228" s="399"/>
      <c r="F228" s="400"/>
      <c r="G228" s="444"/>
      <c r="H228" s="396"/>
      <c r="I228" s="15"/>
    </row>
    <row r="229" spans="1:9" ht="12.75" customHeight="1">
      <c r="A229" s="395"/>
      <c r="B229" s="396"/>
      <c r="C229" s="397"/>
      <c r="D229" s="398"/>
      <c r="E229" s="399"/>
      <c r="F229" s="400"/>
      <c r="G229" s="444"/>
      <c r="H229" s="396"/>
      <c r="I229" s="15"/>
    </row>
    <row r="230" spans="1:9" ht="12.75" customHeight="1">
      <c r="A230" s="395"/>
      <c r="B230" s="396"/>
      <c r="C230" s="397"/>
      <c r="D230" s="398"/>
      <c r="E230" s="399"/>
      <c r="F230" s="400"/>
      <c r="G230" s="444"/>
      <c r="H230" s="396"/>
      <c r="I230" s="15"/>
    </row>
    <row r="231" spans="1:9" ht="12.75" customHeight="1">
      <c r="A231" s="395"/>
      <c r="B231" s="396"/>
      <c r="C231" s="397"/>
      <c r="D231" s="398"/>
      <c r="E231" s="399"/>
      <c r="F231" s="400"/>
      <c r="G231" s="444"/>
      <c r="H231" s="396"/>
      <c r="I231" s="15"/>
    </row>
    <row r="232" spans="1:9" ht="12.75" customHeight="1">
      <c r="A232" s="395"/>
      <c r="B232" s="396"/>
      <c r="C232" s="397"/>
      <c r="D232" s="398"/>
      <c r="E232" s="399"/>
      <c r="F232" s="400"/>
      <c r="G232" s="444"/>
      <c r="H232" s="396"/>
      <c r="I232" s="15"/>
    </row>
    <row r="233" spans="1:9" ht="12.75" customHeight="1">
      <c r="A233" s="395"/>
      <c r="B233" s="396"/>
      <c r="C233" s="397"/>
      <c r="D233" s="398"/>
      <c r="E233" s="399"/>
      <c r="F233" s="400"/>
      <c r="G233" s="444"/>
      <c r="H233" s="396"/>
      <c r="I233" s="15"/>
    </row>
    <row r="234" spans="1:9" ht="12.75" customHeight="1">
      <c r="A234" s="395"/>
      <c r="B234" s="396"/>
      <c r="C234" s="397"/>
      <c r="D234" s="398"/>
      <c r="E234" s="399"/>
      <c r="F234" s="400"/>
      <c r="G234" s="444"/>
      <c r="H234" s="396"/>
      <c r="I234" s="15"/>
    </row>
    <row r="235" spans="1:9" ht="12.75" customHeight="1">
      <c r="A235" s="395"/>
      <c r="B235" s="396"/>
      <c r="C235" s="397"/>
      <c r="D235" s="398"/>
      <c r="E235" s="399"/>
      <c r="F235" s="400"/>
      <c r="G235" s="444"/>
      <c r="H235" s="396"/>
      <c r="I235" s="15"/>
    </row>
    <row r="236" spans="1:9" ht="12.75" customHeight="1">
      <c r="A236" s="395"/>
      <c r="B236" s="396"/>
      <c r="C236" s="397"/>
      <c r="D236" s="398"/>
      <c r="E236" s="399"/>
      <c r="F236" s="400"/>
      <c r="G236" s="444"/>
      <c r="H236" s="396"/>
      <c r="I236" s="15"/>
    </row>
    <row r="237" spans="1:9" ht="12.75" customHeight="1">
      <c r="A237" s="395"/>
      <c r="B237" s="396"/>
      <c r="C237" s="397"/>
      <c r="D237" s="398"/>
      <c r="E237" s="399"/>
      <c r="F237" s="400"/>
      <c r="G237" s="444"/>
      <c r="H237" s="396"/>
      <c r="I237" s="15"/>
    </row>
    <row r="238" spans="1:9" ht="12.75" customHeight="1">
      <c r="A238" s="395"/>
      <c r="B238" s="396"/>
      <c r="C238" s="397"/>
      <c r="D238" s="398"/>
      <c r="E238" s="399"/>
      <c r="F238" s="400"/>
      <c r="G238" s="444"/>
      <c r="H238" s="396"/>
      <c r="I238" s="15"/>
    </row>
    <row r="239" spans="1:9" ht="12.75" customHeight="1">
      <c r="A239" s="395"/>
      <c r="B239" s="396"/>
      <c r="C239" s="397"/>
      <c r="D239" s="398"/>
      <c r="E239" s="399"/>
      <c r="F239" s="400"/>
      <c r="G239" s="444"/>
      <c r="H239" s="396"/>
      <c r="I239" s="15"/>
    </row>
    <row r="240" spans="1:9" ht="12.75" customHeight="1">
      <c r="A240" s="395"/>
      <c r="B240" s="396"/>
      <c r="C240" s="397"/>
      <c r="D240" s="398"/>
      <c r="E240" s="399"/>
      <c r="F240" s="400"/>
      <c r="G240" s="444"/>
      <c r="H240" s="396"/>
      <c r="I240" s="15"/>
    </row>
    <row r="241" spans="1:9" ht="12.75" customHeight="1">
      <c r="A241" s="395"/>
      <c r="B241" s="396"/>
      <c r="C241" s="397"/>
      <c r="D241" s="398"/>
      <c r="E241" s="399"/>
      <c r="F241" s="400"/>
      <c r="G241" s="444"/>
      <c r="H241" s="396"/>
      <c r="I241" s="15"/>
    </row>
    <row r="242" spans="1:9" ht="12.75" customHeight="1">
      <c r="A242" s="395"/>
      <c r="B242" s="396"/>
      <c r="C242" s="397"/>
      <c r="D242" s="398"/>
      <c r="E242" s="399"/>
      <c r="F242" s="400"/>
      <c r="G242" s="444"/>
      <c r="H242" s="396"/>
      <c r="I242" s="15"/>
    </row>
    <row r="243" spans="1:9" ht="12.75" customHeight="1">
      <c r="A243" s="395"/>
      <c r="B243" s="396"/>
      <c r="C243" s="397"/>
      <c r="D243" s="398"/>
      <c r="E243" s="399"/>
      <c r="F243" s="400"/>
      <c r="G243" s="444"/>
      <c r="H243" s="396"/>
      <c r="I243" s="15"/>
    </row>
    <row r="244" spans="1:9" ht="12.75" customHeight="1">
      <c r="A244" s="395"/>
      <c r="B244" s="396"/>
      <c r="C244" s="397"/>
      <c r="D244" s="398"/>
      <c r="E244" s="399"/>
      <c r="F244" s="400"/>
      <c r="G244" s="444"/>
      <c r="H244" s="396"/>
      <c r="I244" s="15"/>
    </row>
    <row r="245" spans="1:9" ht="12.75" customHeight="1">
      <c r="A245" s="395"/>
      <c r="B245" s="396"/>
      <c r="C245" s="397"/>
      <c r="D245" s="398"/>
      <c r="E245" s="399"/>
      <c r="F245" s="400"/>
      <c r="G245" s="444"/>
      <c r="H245" s="396"/>
      <c r="I245" s="15"/>
    </row>
    <row r="246" spans="1:9" ht="12.75" customHeight="1">
      <c r="A246" s="395"/>
      <c r="B246" s="396"/>
      <c r="C246" s="397"/>
      <c r="D246" s="398"/>
      <c r="E246" s="399"/>
      <c r="F246" s="400"/>
      <c r="G246" s="444"/>
      <c r="H246" s="396"/>
      <c r="I246" s="15"/>
    </row>
    <row r="247" spans="1:9" ht="12.75" customHeight="1">
      <c r="A247" s="395"/>
      <c r="B247" s="396"/>
      <c r="C247" s="397"/>
      <c r="D247" s="398"/>
      <c r="E247" s="399"/>
      <c r="F247" s="400"/>
      <c r="G247" s="444"/>
      <c r="H247" s="396"/>
      <c r="I247" s="15"/>
    </row>
    <row r="248" spans="1:9" ht="12.75" customHeight="1">
      <c r="A248" s="395"/>
      <c r="B248" s="396"/>
      <c r="C248" s="397"/>
      <c r="D248" s="398"/>
      <c r="E248" s="399"/>
      <c r="F248" s="400"/>
      <c r="G248" s="444"/>
      <c r="H248" s="396"/>
      <c r="I248" s="15"/>
    </row>
    <row r="249" spans="1:9" ht="12.75" customHeight="1">
      <c r="A249" s="395"/>
      <c r="B249" s="396"/>
      <c r="C249" s="397"/>
      <c r="D249" s="398"/>
      <c r="E249" s="399"/>
      <c r="F249" s="400"/>
      <c r="G249" s="444"/>
      <c r="H249" s="396"/>
      <c r="I249" s="15"/>
    </row>
    <row r="250" spans="1:9" ht="12.75" customHeight="1">
      <c r="A250" s="395"/>
      <c r="B250" s="396"/>
      <c r="C250" s="397"/>
      <c r="D250" s="398"/>
      <c r="E250" s="399"/>
      <c r="F250" s="400"/>
      <c r="G250" s="444"/>
      <c r="H250" s="396"/>
      <c r="I250" s="15"/>
    </row>
    <row r="251" spans="1:9" ht="12.75" customHeight="1">
      <c r="A251" s="395"/>
      <c r="B251" s="396"/>
      <c r="C251" s="397"/>
      <c r="D251" s="398"/>
      <c r="E251" s="399"/>
      <c r="F251" s="400"/>
      <c r="G251" s="444"/>
      <c r="H251" s="396"/>
      <c r="I251" s="15"/>
    </row>
    <row r="252" spans="1:9" ht="12.75" customHeight="1">
      <c r="A252" s="395"/>
      <c r="B252" s="396"/>
      <c r="C252" s="397"/>
      <c r="D252" s="398"/>
      <c r="E252" s="399"/>
      <c r="F252" s="400"/>
      <c r="G252" s="444"/>
      <c r="H252" s="396"/>
      <c r="I252" s="15"/>
    </row>
    <row r="253" spans="1:9" ht="12.75" customHeight="1">
      <c r="A253" s="395"/>
      <c r="B253" s="396"/>
      <c r="C253" s="397"/>
      <c r="D253" s="398"/>
      <c r="E253" s="399"/>
      <c r="F253" s="400"/>
      <c r="G253" s="444"/>
      <c r="H253" s="396"/>
      <c r="I253" s="15"/>
    </row>
    <row r="254" spans="1:9" ht="12.75" customHeight="1">
      <c r="A254" s="395"/>
      <c r="B254" s="396"/>
      <c r="C254" s="397"/>
      <c r="D254" s="398"/>
      <c r="E254" s="399"/>
      <c r="F254" s="400"/>
      <c r="G254" s="444"/>
      <c r="H254" s="396"/>
      <c r="I254" s="15"/>
    </row>
    <row r="255" spans="1:9" ht="12.75" customHeight="1">
      <c r="A255" s="395"/>
      <c r="B255" s="396"/>
      <c r="C255" s="397"/>
      <c r="D255" s="398"/>
      <c r="E255" s="399"/>
      <c r="F255" s="400"/>
      <c r="G255" s="444"/>
      <c r="H255" s="396"/>
      <c r="I255" s="15"/>
    </row>
    <row r="256" spans="1:9" ht="12.75" customHeight="1">
      <c r="A256" s="395"/>
      <c r="B256" s="396"/>
      <c r="C256" s="397"/>
      <c r="D256" s="398"/>
      <c r="E256" s="399"/>
      <c r="F256" s="400"/>
      <c r="G256" s="444"/>
      <c r="H256" s="396"/>
      <c r="I256" s="15"/>
    </row>
    <row r="257" spans="1:9" ht="12.75" customHeight="1">
      <c r="A257" s="395"/>
      <c r="B257" s="396"/>
      <c r="C257" s="397"/>
      <c r="D257" s="398"/>
      <c r="E257" s="399"/>
      <c r="F257" s="400"/>
      <c r="G257" s="444"/>
      <c r="H257" s="396"/>
      <c r="I257" s="15"/>
    </row>
    <row r="258" spans="1:9" ht="12.75" customHeight="1">
      <c r="A258" s="395"/>
      <c r="B258" s="396"/>
      <c r="C258" s="397"/>
      <c r="D258" s="398"/>
      <c r="E258" s="397"/>
      <c r="F258" s="400"/>
      <c r="G258" s="444"/>
      <c r="H258" s="396"/>
      <c r="I258" s="15"/>
    </row>
    <row r="259" spans="1:9" ht="12.75" customHeight="1">
      <c r="A259" s="395"/>
      <c r="B259" s="406"/>
      <c r="C259" s="397"/>
      <c r="D259" s="398"/>
      <c r="E259" s="399"/>
      <c r="F259" s="400"/>
      <c r="G259" s="444"/>
      <c r="H259" s="396"/>
      <c r="I259" s="15"/>
    </row>
    <row r="260" spans="1:9" ht="12.75" customHeight="1">
      <c r="A260" s="395"/>
      <c r="B260" s="406"/>
      <c r="C260" s="407"/>
      <c r="D260" s="408"/>
      <c r="E260" s="409"/>
      <c r="F260" s="394"/>
      <c r="G260" s="444"/>
      <c r="H260" s="396"/>
      <c r="I260" s="15"/>
    </row>
    <row r="261" spans="1:9" ht="12.75" customHeight="1">
      <c r="A261" s="395"/>
      <c r="B261" s="406"/>
      <c r="C261" s="407"/>
      <c r="D261" s="408"/>
      <c r="E261" s="409"/>
      <c r="F261" s="394"/>
      <c r="G261" s="444"/>
      <c r="H261" s="396"/>
      <c r="I261" s="15"/>
    </row>
    <row r="262" spans="1:9" ht="12.75" customHeight="1">
      <c r="A262" s="405"/>
      <c r="B262" s="406"/>
      <c r="C262" s="407"/>
      <c r="D262" s="408"/>
      <c r="E262" s="409"/>
      <c r="F262" s="394"/>
      <c r="G262" s="444"/>
      <c r="H262" s="396"/>
      <c r="I262" s="15"/>
    </row>
    <row r="263" spans="1:9" ht="12.75" customHeight="1">
      <c r="A263" s="405"/>
      <c r="B263" s="406"/>
      <c r="C263" s="407"/>
      <c r="D263" s="408"/>
      <c r="E263" s="409"/>
      <c r="F263" s="394"/>
      <c r="G263" s="444"/>
      <c r="H263" s="396"/>
      <c r="I263" s="15"/>
    </row>
    <row r="264" spans="1:9" ht="12.75" customHeight="1">
      <c r="A264" s="395"/>
      <c r="B264" s="396"/>
      <c r="C264" s="397"/>
      <c r="D264" s="398"/>
      <c r="E264" s="399"/>
      <c r="F264" s="400"/>
      <c r="G264" s="444"/>
      <c r="H264" s="396"/>
      <c r="I264" s="15"/>
    </row>
    <row r="265" spans="1:9" ht="12.75" customHeight="1">
      <c r="A265" s="395"/>
      <c r="B265" s="396"/>
      <c r="C265" s="397"/>
      <c r="D265" s="398"/>
      <c r="E265" s="399"/>
      <c r="F265" s="400"/>
      <c r="G265" s="444"/>
      <c r="H265" s="396"/>
      <c r="I265" s="15"/>
    </row>
    <row r="266" spans="1:9" ht="12.75" customHeight="1">
      <c r="A266" s="395"/>
      <c r="B266" s="406"/>
      <c r="C266" s="397"/>
      <c r="D266" s="398"/>
      <c r="E266" s="409"/>
      <c r="F266" s="394"/>
      <c r="G266" s="444"/>
      <c r="H266" s="396"/>
      <c r="I266" s="15"/>
    </row>
    <row r="267" spans="1:9" ht="12.75" customHeight="1">
      <c r="A267" s="395"/>
      <c r="B267" s="406"/>
      <c r="C267" s="407"/>
      <c r="D267" s="408"/>
      <c r="E267" s="409"/>
      <c r="F267" s="394"/>
      <c r="G267" s="444"/>
      <c r="H267" s="396"/>
      <c r="I267" s="15"/>
    </row>
    <row r="268" spans="1:9" ht="12.75" customHeight="1">
      <c r="A268" s="405"/>
      <c r="B268" s="396"/>
      <c r="C268" s="401"/>
      <c r="D268" s="402"/>
      <c r="E268" s="403"/>
      <c r="F268" s="404"/>
      <c r="G268" s="444"/>
      <c r="H268" s="396"/>
      <c r="I268" s="15"/>
    </row>
    <row r="269" spans="1:9" ht="12.75" customHeight="1">
      <c r="A269" s="405"/>
      <c r="B269" s="406"/>
      <c r="C269" s="407"/>
      <c r="D269" s="408"/>
      <c r="E269" s="409"/>
      <c r="F269" s="394"/>
      <c r="G269" s="444"/>
      <c r="H269" s="396"/>
      <c r="I269" s="15"/>
    </row>
    <row r="270" spans="1:9" ht="12.75" customHeight="1">
      <c r="A270" s="395"/>
      <c r="B270" s="406"/>
      <c r="C270" s="397"/>
      <c r="D270" s="398"/>
      <c r="E270" s="399"/>
      <c r="F270" s="400"/>
      <c r="G270" s="444"/>
      <c r="H270" s="399"/>
      <c r="I270" s="15"/>
    </row>
    <row r="271" spans="1:9" ht="12.75" customHeight="1">
      <c r="A271" s="395"/>
      <c r="B271" s="441"/>
      <c r="C271" s="399"/>
      <c r="D271" s="400"/>
      <c r="E271" s="403"/>
      <c r="F271" s="404"/>
      <c r="G271" s="414"/>
      <c r="H271" s="399"/>
      <c r="I271" s="15"/>
    </row>
    <row r="272" spans="1:9" ht="12.75" customHeight="1">
      <c r="A272" s="395"/>
      <c r="B272" s="441"/>
      <c r="C272" s="409"/>
      <c r="D272" s="394"/>
      <c r="E272" s="409"/>
      <c r="F272" s="394"/>
      <c r="G272" s="414"/>
      <c r="H272" s="399"/>
      <c r="I272" s="15"/>
    </row>
    <row r="273" spans="1:9" ht="12.75" customHeight="1">
      <c r="A273" s="405"/>
      <c r="B273" s="441"/>
      <c r="C273" s="409"/>
      <c r="D273" s="394"/>
      <c r="E273" s="451"/>
      <c r="F273" s="425"/>
      <c r="G273" s="396"/>
      <c r="H273" s="414"/>
      <c r="I273" s="15"/>
    </row>
    <row r="274" spans="1:9" ht="12.75" customHeight="1">
      <c r="A274" s="405"/>
      <c r="B274" s="441"/>
      <c r="C274" s="409"/>
      <c r="D274" s="394"/>
      <c r="E274" s="424"/>
      <c r="F274" s="425"/>
      <c r="G274" s="414"/>
      <c r="H274" s="399"/>
      <c r="I274" s="15"/>
    </row>
    <row r="275" spans="1:9" ht="12.75" customHeight="1">
      <c r="A275" s="454"/>
      <c r="B275" s="481"/>
      <c r="C275" s="482"/>
      <c r="D275" s="483"/>
      <c r="E275" s="484"/>
      <c r="F275" s="485"/>
      <c r="G275" s="445"/>
      <c r="H275" s="442"/>
      <c r="I275" s="15"/>
    </row>
    <row r="276" spans="1:9" ht="12.75" customHeight="1">
      <c r="A276" s="454"/>
      <c r="B276" s="443"/>
      <c r="C276" s="482"/>
      <c r="D276" s="483"/>
      <c r="E276" s="452"/>
      <c r="F276" s="453"/>
      <c r="G276" s="446"/>
      <c r="H276" s="447"/>
      <c r="I276" s="15"/>
    </row>
    <row r="277" spans="1:9" ht="12.75" customHeight="1">
      <c r="A277" s="395"/>
      <c r="B277" s="442"/>
      <c r="C277" s="403"/>
      <c r="D277" s="404"/>
      <c r="E277" s="486"/>
      <c r="F277" s="471"/>
      <c r="G277" s="56"/>
      <c r="H277" s="448"/>
      <c r="I277" s="15"/>
    </row>
    <row r="278" spans="1:9" ht="12.75" customHeight="1">
      <c r="A278" s="434"/>
      <c r="B278" s="455"/>
      <c r="C278" s="456"/>
      <c r="D278" s="457"/>
      <c r="E278" s="455"/>
      <c r="F278" s="487"/>
      <c r="G278" s="457"/>
      <c r="H278" s="458"/>
      <c r="I278" s="15"/>
    </row>
    <row r="279" spans="1:9" ht="12.75" customHeight="1">
      <c r="A279" s="434"/>
      <c r="B279" s="462"/>
      <c r="C279" s="492"/>
      <c r="D279" s="460"/>
      <c r="E279" s="493"/>
      <c r="F279" s="461"/>
      <c r="G279" s="449"/>
      <c r="H279" s="450"/>
      <c r="I279" s="15"/>
    </row>
    <row r="280" spans="1:9" ht="12.75" customHeight="1">
      <c r="A280" s="395"/>
      <c r="B280" s="494"/>
      <c r="C280" s="473"/>
      <c r="D280" s="495"/>
      <c r="E280" s="494"/>
      <c r="F280" s="473"/>
      <c r="G280" s="496"/>
      <c r="H280" s="497"/>
      <c r="I280" s="15"/>
    </row>
    <row r="281" spans="1:9" ht="12.75" customHeight="1">
      <c r="A281" s="395"/>
      <c r="B281" s="488"/>
      <c r="C281" s="489"/>
      <c r="D281" s="490"/>
      <c r="E281" s="419"/>
      <c r="F281" s="415"/>
      <c r="G281" s="444"/>
      <c r="H281" s="491"/>
      <c r="I281" s="15"/>
    </row>
    <row r="282" spans="1:9" ht="12.75" customHeight="1">
      <c r="A282" s="395"/>
      <c r="B282" s="406"/>
      <c r="C282" s="463"/>
      <c r="D282" s="408"/>
      <c r="E282" s="409"/>
      <c r="F282" s="424"/>
      <c r="G282" s="459"/>
      <c r="H282" s="472"/>
      <c r="I282" s="15"/>
    </row>
    <row r="283" spans="1:9" ht="12.75" customHeight="1">
      <c r="A283" s="395"/>
      <c r="B283" s="406"/>
      <c r="C283" s="463"/>
      <c r="D283" s="408"/>
      <c r="E283" s="409"/>
      <c r="F283" s="424"/>
      <c r="G283" s="459"/>
      <c r="H283" s="472"/>
      <c r="I283" s="15"/>
    </row>
    <row r="284" spans="1:9" ht="12.75" customHeight="1">
      <c r="A284" s="395"/>
      <c r="B284" s="396"/>
      <c r="C284" s="397"/>
      <c r="D284" s="398"/>
      <c r="E284" s="399"/>
      <c r="F284" s="400"/>
      <c r="G284" s="382"/>
      <c r="H284" s="380"/>
      <c r="I284" s="15"/>
    </row>
    <row r="285" spans="1:9" ht="12.75" customHeight="1">
      <c r="A285" s="395"/>
      <c r="B285" s="396"/>
      <c r="C285" s="397"/>
      <c r="D285" s="398"/>
      <c r="E285" s="399"/>
      <c r="F285" s="400"/>
      <c r="G285" s="382"/>
      <c r="H285" s="380"/>
      <c r="I285" s="15"/>
    </row>
    <row r="286" spans="1:9" ht="12.75" customHeight="1">
      <c r="A286" s="395"/>
      <c r="B286" s="396"/>
      <c r="C286" s="397"/>
      <c r="D286" s="398"/>
      <c r="E286" s="399"/>
      <c r="F286" s="400"/>
      <c r="G286" s="382"/>
      <c r="H286" s="380"/>
      <c r="I286" s="15"/>
    </row>
    <row r="287" spans="1:9" ht="12.75" customHeight="1">
      <c r="A287" s="395"/>
      <c r="B287" s="396"/>
      <c r="C287" s="397"/>
      <c r="D287" s="398"/>
      <c r="E287" s="399"/>
      <c r="F287" s="400"/>
      <c r="G287" s="382"/>
      <c r="H287" s="380"/>
      <c r="I287" s="15"/>
    </row>
    <row r="288" spans="1:9" ht="12.75" customHeight="1">
      <c r="A288" s="395"/>
      <c r="B288" s="396"/>
      <c r="C288" s="397"/>
      <c r="D288" s="398"/>
      <c r="E288" s="399"/>
      <c r="F288" s="400"/>
      <c r="G288" s="382"/>
      <c r="H288" s="380"/>
      <c r="I288" s="15"/>
    </row>
    <row r="289" spans="1:9" ht="12.75" customHeight="1">
      <c r="A289" s="395"/>
      <c r="B289" s="396"/>
      <c r="C289" s="397"/>
      <c r="D289" s="398"/>
      <c r="E289" s="399"/>
      <c r="F289" s="400"/>
      <c r="G289" s="382"/>
      <c r="H289" s="380"/>
      <c r="I289" s="15"/>
    </row>
    <row r="290" spans="1:9" ht="12.75" customHeight="1">
      <c r="A290" s="395"/>
      <c r="B290" s="396"/>
      <c r="C290" s="397"/>
      <c r="D290" s="398"/>
      <c r="E290" s="399"/>
      <c r="F290" s="400"/>
      <c r="G290" s="382"/>
      <c r="H290" s="380"/>
      <c r="I290" s="15"/>
    </row>
    <row r="291" spans="1:9" ht="12.75" customHeight="1">
      <c r="A291" s="395"/>
      <c r="B291" s="396"/>
      <c r="C291" s="397"/>
      <c r="D291" s="398"/>
      <c r="E291" s="399"/>
      <c r="F291" s="400"/>
      <c r="G291" s="382"/>
      <c r="H291" s="380"/>
      <c r="I291" s="15"/>
    </row>
    <row r="292" spans="1:9" ht="12.75" customHeight="1">
      <c r="A292" s="395"/>
      <c r="B292" s="396"/>
      <c r="C292" s="397"/>
      <c r="D292" s="398"/>
      <c r="E292" s="399"/>
      <c r="F292" s="400"/>
      <c r="G292" s="382"/>
      <c r="H292" s="380"/>
      <c r="I292" s="15"/>
    </row>
    <row r="293" spans="1:9" ht="12.75" customHeight="1">
      <c r="A293" s="395"/>
      <c r="B293" s="396"/>
      <c r="C293" s="397"/>
      <c r="D293" s="398"/>
      <c r="E293" s="399"/>
      <c r="F293" s="400"/>
      <c r="G293" s="382"/>
      <c r="H293" s="380"/>
      <c r="I293" s="15"/>
    </row>
    <row r="294" spans="1:9" ht="12.75" customHeight="1">
      <c r="A294" s="395"/>
      <c r="B294" s="396"/>
      <c r="C294" s="397"/>
      <c r="D294" s="398"/>
      <c r="E294" s="399"/>
      <c r="F294" s="400"/>
      <c r="G294" s="382"/>
      <c r="H294" s="380"/>
      <c r="I294" s="15"/>
    </row>
    <row r="295" spans="1:9" ht="12.75" customHeight="1">
      <c r="A295" s="395"/>
      <c r="B295" s="396"/>
      <c r="C295" s="397"/>
      <c r="D295" s="398"/>
      <c r="E295" s="399"/>
      <c r="F295" s="400"/>
      <c r="G295" s="382"/>
      <c r="H295" s="380"/>
      <c r="I295" s="15"/>
    </row>
    <row r="296" spans="1:9" ht="12.75" customHeight="1">
      <c r="A296" s="395"/>
      <c r="B296" s="396"/>
      <c r="C296" s="397"/>
      <c r="D296" s="398"/>
      <c r="E296" s="399"/>
      <c r="F296" s="400"/>
      <c r="G296" s="382"/>
      <c r="H296" s="380"/>
      <c r="I296" s="15"/>
    </row>
    <row r="297" spans="1:9" ht="12.75" customHeight="1">
      <c r="A297" s="395"/>
      <c r="B297" s="396"/>
      <c r="C297" s="397"/>
      <c r="D297" s="398"/>
      <c r="E297" s="399"/>
      <c r="F297" s="400"/>
      <c r="G297" s="382"/>
      <c r="H297" s="380"/>
      <c r="I297" s="15"/>
    </row>
    <row r="298" spans="1:9" ht="12.75" customHeight="1">
      <c r="A298" s="395"/>
      <c r="B298" s="396"/>
      <c r="C298" s="397"/>
      <c r="D298" s="398"/>
      <c r="E298" s="399"/>
      <c r="F298" s="400"/>
      <c r="G298" s="382"/>
      <c r="H298" s="380"/>
      <c r="I298" s="15"/>
    </row>
    <row r="299" spans="1:9" ht="12.75" customHeight="1">
      <c r="A299" s="395"/>
      <c r="B299" s="396"/>
      <c r="C299" s="397"/>
      <c r="D299" s="398"/>
      <c r="E299" s="399"/>
      <c r="F299" s="400"/>
      <c r="G299" s="382"/>
      <c r="H299" s="380"/>
      <c r="I299" s="15"/>
    </row>
    <row r="300" spans="1:9" ht="12.75" customHeight="1">
      <c r="A300" s="395"/>
      <c r="B300" s="396"/>
      <c r="C300" s="397"/>
      <c r="D300" s="398"/>
      <c r="E300" s="399"/>
      <c r="F300" s="400"/>
      <c r="G300" s="382"/>
      <c r="H300" s="380"/>
      <c r="I300" s="15"/>
    </row>
    <row r="301" spans="1:9" ht="12.75" customHeight="1">
      <c r="A301" s="395"/>
      <c r="B301" s="396"/>
      <c r="C301" s="397"/>
      <c r="D301" s="398"/>
      <c r="E301" s="399"/>
      <c r="F301" s="400"/>
      <c r="G301" s="382"/>
      <c r="H301" s="380"/>
      <c r="I301" s="15"/>
    </row>
    <row r="302" spans="1:9" ht="12.75" customHeight="1">
      <c r="A302" s="395"/>
      <c r="B302" s="396"/>
      <c r="C302" s="397"/>
      <c r="D302" s="398"/>
      <c r="E302" s="399"/>
      <c r="F302" s="400"/>
      <c r="G302" s="382"/>
      <c r="H302" s="380"/>
      <c r="I302" s="15"/>
    </row>
    <row r="303" spans="1:9" ht="12.75" customHeight="1">
      <c r="A303" s="395"/>
      <c r="B303" s="396"/>
      <c r="C303" s="397"/>
      <c r="D303" s="398"/>
      <c r="E303" s="399"/>
      <c r="F303" s="400"/>
      <c r="G303" s="382"/>
      <c r="H303" s="380"/>
      <c r="I303" s="15"/>
    </row>
    <row r="304" spans="1:9" ht="12.75" customHeight="1">
      <c r="A304" s="395"/>
      <c r="B304" s="396"/>
      <c r="C304" s="397"/>
      <c r="D304" s="398"/>
      <c r="E304" s="399"/>
      <c r="F304" s="400"/>
      <c r="G304" s="382"/>
      <c r="H304" s="380"/>
      <c r="I304" s="15"/>
    </row>
    <row r="305" spans="1:9" ht="12.75" customHeight="1">
      <c r="A305" s="395"/>
      <c r="B305" s="396"/>
      <c r="C305" s="397"/>
      <c r="D305" s="398"/>
      <c r="E305" s="399"/>
      <c r="F305" s="400"/>
      <c r="G305" s="382"/>
      <c r="H305" s="380"/>
      <c r="I305" s="15"/>
    </row>
    <row r="306" spans="1:9" ht="12.75" customHeight="1">
      <c r="A306" s="395"/>
      <c r="B306" s="396"/>
      <c r="C306" s="397"/>
      <c r="D306" s="398"/>
      <c r="E306" s="399"/>
      <c r="F306" s="400"/>
      <c r="G306" s="382"/>
      <c r="H306" s="380"/>
      <c r="I306" s="15"/>
    </row>
    <row r="307" spans="1:9" ht="12.75" customHeight="1">
      <c r="A307" s="395"/>
      <c r="B307" s="396"/>
      <c r="C307" s="397"/>
      <c r="D307" s="398"/>
      <c r="E307" s="399"/>
      <c r="F307" s="400"/>
      <c r="G307" s="382"/>
      <c r="H307" s="380"/>
      <c r="I307" s="15"/>
    </row>
    <row r="308" spans="1:9" ht="12.75" customHeight="1">
      <c r="A308" s="395"/>
      <c r="B308" s="396"/>
      <c r="C308" s="397"/>
      <c r="D308" s="398"/>
      <c r="E308" s="399"/>
      <c r="F308" s="400"/>
      <c r="G308" s="382"/>
      <c r="H308" s="380"/>
      <c r="I308" s="15"/>
    </row>
    <row r="309" spans="1:9" ht="12.75" customHeight="1">
      <c r="A309" s="395"/>
      <c r="B309" s="396"/>
      <c r="C309" s="397"/>
      <c r="D309" s="398"/>
      <c r="E309" s="399"/>
      <c r="F309" s="400"/>
      <c r="G309" s="382"/>
      <c r="H309" s="380"/>
      <c r="I309" s="15"/>
    </row>
    <row r="310" spans="1:9" ht="12.75" customHeight="1">
      <c r="A310" s="395"/>
      <c r="B310" s="396"/>
      <c r="C310" s="397"/>
      <c r="D310" s="398"/>
      <c r="E310" s="399"/>
      <c r="F310" s="400"/>
      <c r="G310" s="382"/>
      <c r="H310" s="380"/>
      <c r="I310" s="15"/>
    </row>
    <row r="311" spans="1:9" ht="12.75" customHeight="1">
      <c r="A311" s="395"/>
      <c r="B311" s="396"/>
      <c r="C311" s="397"/>
      <c r="D311" s="398"/>
      <c r="E311" s="399"/>
      <c r="F311" s="400"/>
      <c r="G311" s="382"/>
      <c r="H311" s="380"/>
      <c r="I311" s="15"/>
    </row>
    <row r="312" spans="1:9" ht="12.75" customHeight="1">
      <c r="A312" s="395"/>
      <c r="B312" s="396"/>
      <c r="C312" s="397"/>
      <c r="D312" s="398"/>
      <c r="E312" s="399"/>
      <c r="F312" s="400"/>
      <c r="G312" s="382"/>
      <c r="H312" s="380"/>
      <c r="I312" s="15"/>
    </row>
    <row r="313" spans="1:9" ht="12.75" customHeight="1">
      <c r="A313" s="395"/>
      <c r="B313" s="396"/>
      <c r="C313" s="397"/>
      <c r="D313" s="398"/>
      <c r="E313" s="399"/>
      <c r="F313" s="400"/>
      <c r="G313" s="382"/>
      <c r="H313" s="380"/>
      <c r="I313" s="15"/>
    </row>
    <row r="314" spans="1:9" ht="12.75" customHeight="1">
      <c r="A314" s="395"/>
      <c r="B314" s="396"/>
      <c r="C314" s="397"/>
      <c r="D314" s="398"/>
      <c r="E314" s="399"/>
      <c r="F314" s="400"/>
      <c r="G314" s="382"/>
      <c r="H314" s="380"/>
      <c r="I314" s="15"/>
    </row>
    <row r="315" spans="1:9" ht="12.75" customHeight="1">
      <c r="A315" s="395"/>
      <c r="B315" s="396"/>
      <c r="C315" s="397"/>
      <c r="D315" s="398"/>
      <c r="E315" s="399"/>
      <c r="F315" s="400"/>
      <c r="G315" s="382"/>
      <c r="H315" s="380"/>
      <c r="I315" s="15"/>
    </row>
    <row r="316" spans="1:9" ht="12.75" customHeight="1">
      <c r="A316" s="395"/>
      <c r="B316" s="396"/>
      <c r="C316" s="397"/>
      <c r="D316" s="398"/>
      <c r="E316" s="399"/>
      <c r="F316" s="400"/>
      <c r="G316" s="382"/>
      <c r="H316" s="380"/>
      <c r="I316" s="15"/>
    </row>
    <row r="317" spans="1:9" ht="12.75" customHeight="1">
      <c r="A317" s="395"/>
      <c r="B317" s="396"/>
      <c r="C317" s="397"/>
      <c r="D317" s="398"/>
      <c r="E317" s="399"/>
      <c r="F317" s="400"/>
      <c r="G317" s="382"/>
      <c r="H317" s="380"/>
      <c r="I317" s="15"/>
    </row>
    <row r="318" spans="1:9" ht="12.75" customHeight="1">
      <c r="A318" s="395"/>
      <c r="B318" s="396"/>
      <c r="C318" s="397"/>
      <c r="D318" s="398"/>
      <c r="E318" s="399"/>
      <c r="F318" s="400"/>
      <c r="G318" s="382"/>
      <c r="H318" s="380"/>
      <c r="I318" s="15"/>
    </row>
    <row r="319" spans="1:9" ht="12.75" customHeight="1">
      <c r="A319" s="395"/>
      <c r="B319" s="396"/>
      <c r="C319" s="397"/>
      <c r="D319" s="398"/>
      <c r="E319" s="399"/>
      <c r="F319" s="400"/>
      <c r="G319" s="382"/>
      <c r="H319" s="380"/>
      <c r="I319" s="15"/>
    </row>
    <row r="320" spans="1:9" ht="12.75" customHeight="1">
      <c r="A320" s="395"/>
      <c r="B320" s="396"/>
      <c r="C320" s="401"/>
      <c r="D320" s="402"/>
      <c r="E320" s="403"/>
      <c r="F320" s="404"/>
      <c r="G320" s="382"/>
      <c r="H320" s="380"/>
      <c r="I320" s="15"/>
    </row>
    <row r="321" spans="1:9" ht="12.75" customHeight="1">
      <c r="A321" s="395"/>
      <c r="B321" s="396"/>
      <c r="C321" s="401"/>
      <c r="D321" s="402"/>
      <c r="E321" s="401"/>
      <c r="F321" s="404"/>
      <c r="G321" s="382"/>
      <c r="H321" s="380"/>
      <c r="I321" s="15"/>
    </row>
    <row r="322" spans="1:9" ht="12.75" customHeight="1">
      <c r="A322" s="405"/>
      <c r="B322" s="406"/>
      <c r="C322" s="407"/>
      <c r="D322" s="408"/>
      <c r="E322" s="409"/>
      <c r="F322" s="394"/>
      <c r="G322" s="382"/>
      <c r="H322" s="380"/>
      <c r="I322" s="15"/>
    </row>
    <row r="323" spans="1:9" ht="12.75" customHeight="1">
      <c r="A323" s="395"/>
      <c r="B323" s="396"/>
      <c r="C323" s="397"/>
      <c r="D323" s="398"/>
      <c r="E323" s="399"/>
      <c r="F323" s="400"/>
      <c r="G323" s="382"/>
      <c r="H323" s="380"/>
      <c r="I323" s="15"/>
    </row>
    <row r="324" spans="1:9" ht="12.75" customHeight="1">
      <c r="A324" s="395"/>
      <c r="B324" s="396"/>
      <c r="C324" s="397"/>
      <c r="D324" s="398"/>
      <c r="E324" s="399"/>
      <c r="F324" s="400"/>
      <c r="G324" s="382"/>
      <c r="H324" s="380"/>
      <c r="I324" s="15"/>
    </row>
    <row r="325" spans="1:9" ht="12.75" customHeight="1">
      <c r="A325" s="395"/>
      <c r="B325" s="396"/>
      <c r="C325" s="397"/>
      <c r="D325" s="398"/>
      <c r="E325" s="403"/>
      <c r="F325" s="404"/>
      <c r="G325" s="382"/>
      <c r="H325" s="380"/>
      <c r="I325" s="15"/>
    </row>
    <row r="326" spans="1:9" ht="12.75" customHeight="1">
      <c r="A326" s="395"/>
      <c r="B326" s="396"/>
      <c r="C326" s="401"/>
      <c r="D326" s="402"/>
      <c r="E326" s="403"/>
      <c r="F326" s="404"/>
      <c r="G326" s="382"/>
      <c r="H326" s="380"/>
      <c r="I326" s="15"/>
    </row>
    <row r="327" spans="1:9" ht="12.75" customHeight="1">
      <c r="A327" s="395"/>
      <c r="B327" s="396"/>
      <c r="C327" s="401"/>
      <c r="D327" s="402"/>
      <c r="E327" s="403"/>
      <c r="F327" s="404"/>
      <c r="G327" s="382"/>
      <c r="H327" s="380"/>
      <c r="I327" s="15"/>
    </row>
    <row r="328" spans="1:9" ht="12.75" customHeight="1">
      <c r="A328" s="395"/>
      <c r="B328" s="396"/>
      <c r="C328" s="407"/>
      <c r="D328" s="408"/>
      <c r="E328" s="409"/>
      <c r="F328" s="394"/>
      <c r="G328" s="382"/>
      <c r="H328" s="380"/>
      <c r="I328" s="15"/>
    </row>
    <row r="329" spans="1:9" ht="12.75" customHeight="1">
      <c r="A329" s="395"/>
      <c r="B329" s="396"/>
      <c r="C329" s="397"/>
      <c r="D329" s="398"/>
      <c r="E329" s="399"/>
      <c r="F329" s="400"/>
      <c r="G329" s="382"/>
      <c r="H329" s="380"/>
      <c r="I329" s="15"/>
    </row>
    <row r="330" spans="1:9" ht="12.75" customHeight="1">
      <c r="A330" s="395"/>
      <c r="B330" s="396"/>
      <c r="C330" s="397"/>
      <c r="D330" s="398"/>
      <c r="E330" s="403"/>
      <c r="F330" s="404"/>
      <c r="G330" s="382"/>
      <c r="H330" s="380"/>
      <c r="I330" s="15"/>
    </row>
    <row r="331" spans="1:9" ht="12.75" customHeight="1">
      <c r="A331" s="395"/>
      <c r="B331" s="396"/>
      <c r="C331" s="401"/>
      <c r="D331" s="402"/>
      <c r="E331" s="403"/>
      <c r="F331" s="404"/>
      <c r="G331" s="382"/>
      <c r="H331" s="380"/>
      <c r="I331" s="15"/>
    </row>
    <row r="332" spans="1:9" ht="12.75" customHeight="1">
      <c r="A332" s="395"/>
      <c r="B332" s="396"/>
      <c r="C332" s="401"/>
      <c r="D332" s="402"/>
      <c r="E332" s="410"/>
      <c r="F332" s="411"/>
      <c r="G332" s="382"/>
      <c r="H332" s="380"/>
      <c r="I332" s="15"/>
    </row>
    <row r="333" spans="1:9" ht="12.75" customHeight="1">
      <c r="A333" s="405"/>
      <c r="B333" s="406"/>
      <c r="C333" s="407"/>
      <c r="D333" s="408"/>
      <c r="E333" s="409"/>
      <c r="F333" s="394"/>
      <c r="G333" s="412"/>
      <c r="H333" s="413"/>
      <c r="I333" s="15"/>
    </row>
    <row r="334" spans="1:9" ht="12.75" customHeight="1">
      <c r="A334" s="395"/>
      <c r="B334" s="414"/>
      <c r="C334" s="399"/>
      <c r="D334" s="400"/>
      <c r="E334" s="415"/>
      <c r="F334" s="416"/>
      <c r="G334" s="417"/>
      <c r="H334" s="413"/>
      <c r="I334" s="15"/>
    </row>
    <row r="335" spans="1:9" ht="12.75" customHeight="1">
      <c r="A335" s="395"/>
      <c r="B335" s="414"/>
      <c r="C335" s="399"/>
      <c r="D335" s="400"/>
      <c r="E335" s="410"/>
      <c r="F335" s="411"/>
      <c r="G335" s="417"/>
      <c r="H335" s="413"/>
      <c r="I335" s="15"/>
    </row>
    <row r="336" spans="1:9" ht="12.75" customHeight="1">
      <c r="A336" s="395"/>
      <c r="B336" s="414"/>
      <c r="C336" s="403"/>
      <c r="D336" s="404"/>
      <c r="E336" s="418"/>
      <c r="F336" s="404"/>
      <c r="G336" s="41"/>
      <c r="H336" s="414"/>
      <c r="I336" s="15"/>
    </row>
    <row r="337" spans="1:9" ht="12.75" customHeight="1">
      <c r="A337" s="395"/>
      <c r="B337" s="414"/>
      <c r="C337" s="403"/>
      <c r="D337" s="404"/>
      <c r="E337" s="410"/>
      <c r="F337" s="404"/>
      <c r="G337" s="417"/>
      <c r="H337" s="413"/>
      <c r="I337" s="15"/>
    </row>
    <row r="338" spans="1:9" ht="12.75" customHeight="1">
      <c r="A338" s="395"/>
      <c r="B338" s="419"/>
      <c r="C338" s="410"/>
      <c r="D338" s="416"/>
      <c r="E338" s="420"/>
      <c r="F338" s="415"/>
      <c r="G338" s="421"/>
      <c r="H338" s="422"/>
      <c r="I338" s="15"/>
    </row>
    <row r="339" spans="1:9" ht="12.75" customHeight="1">
      <c r="A339" s="405"/>
      <c r="B339" s="423"/>
      <c r="C339" s="424"/>
      <c r="D339" s="425"/>
      <c r="E339" s="423"/>
      <c r="F339" s="424"/>
      <c r="G339" s="426"/>
      <c r="H339" s="427"/>
      <c r="I339" s="15"/>
    </row>
    <row r="340" spans="1:9" ht="12.75" customHeight="1">
      <c r="A340" s="389"/>
      <c r="B340" s="428"/>
      <c r="C340" s="429"/>
      <c r="D340" s="416"/>
      <c r="E340" s="430"/>
      <c r="F340" s="431"/>
      <c r="G340" s="432"/>
      <c r="H340" s="433"/>
      <c r="I340" s="434"/>
    </row>
    <row r="341" spans="1:9" ht="12.75" customHeight="1">
      <c r="A341" s="435"/>
      <c r="B341" s="436"/>
      <c r="C341" s="437"/>
      <c r="D341" s="438"/>
      <c r="E341" s="437"/>
      <c r="F341" s="438"/>
      <c r="G341" s="438"/>
      <c r="H341" s="439"/>
      <c r="I341" s="440"/>
    </row>
    <row r="342" spans="1:9" ht="12.75" customHeight="1">
      <c r="A342" s="435"/>
      <c r="B342" s="436"/>
      <c r="C342" s="437"/>
      <c r="D342" s="438"/>
      <c r="E342" s="437"/>
      <c r="F342" s="438"/>
      <c r="G342" s="438"/>
      <c r="H342" s="439"/>
      <c r="I342" s="440"/>
    </row>
    <row r="343" ht="12.75" customHeight="1">
      <c r="I343" s="377"/>
    </row>
    <row r="344" ht="12.75" customHeight="1">
      <c r="I344" s="377"/>
    </row>
  </sheetData>
  <sheetProtection/>
  <mergeCells count="1">
    <mergeCell ref="C7:D7"/>
  </mergeCells>
  <printOptions/>
  <pageMargins left="0.67" right="0.2" top="0.25" bottom="0.25" header="0.34" footer="0.3"/>
  <pageSetup horizontalDpi="600" verticalDpi="600" orientation="portrait" paperSize="5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6.7109375" style="4" customWidth="1"/>
    <col min="2" max="2" width="7.57421875" style="4" customWidth="1"/>
    <col min="3" max="3" width="12.57421875" style="6" customWidth="1"/>
    <col min="4" max="4" width="12.7109375" style="5" customWidth="1"/>
    <col min="5" max="5" width="15.00390625" style="6" customWidth="1"/>
    <col min="6" max="6" width="14.421875" style="5" customWidth="1"/>
    <col min="7" max="7" width="9.8515625" style="5" customWidth="1"/>
    <col min="8" max="8" width="9.57421875" style="5" customWidth="1"/>
    <col min="9" max="9" width="9.28125" style="3" customWidth="1"/>
    <col min="10" max="10" width="21.28125" style="378" bestFit="1" customWidth="1"/>
    <col min="11" max="16384" width="9.140625" style="378" customWidth="1"/>
  </cols>
  <sheetData>
    <row r="1" spans="1:9" ht="12.75" customHeight="1">
      <c r="A1" s="380"/>
      <c r="B1" s="380"/>
      <c r="C1" s="381" t="s">
        <v>3</v>
      </c>
      <c r="D1" s="382"/>
      <c r="E1" s="383"/>
      <c r="F1" s="384"/>
      <c r="G1" s="382"/>
      <c r="H1" s="380"/>
      <c r="I1" s="15"/>
    </row>
    <row r="2" spans="1:9" ht="12.75" customHeight="1">
      <c r="A2" s="380"/>
      <c r="B2" s="380"/>
      <c r="C2" s="381" t="s">
        <v>4</v>
      </c>
      <c r="D2" s="385"/>
      <c r="E2" s="381"/>
      <c r="F2" s="384"/>
      <c r="G2" s="382"/>
      <c r="H2" s="380"/>
      <c r="I2" s="15"/>
    </row>
    <row r="3" spans="1:9" ht="12.75" customHeight="1">
      <c r="A3" s="380"/>
      <c r="B3" s="380"/>
      <c r="C3" s="381" t="s">
        <v>33</v>
      </c>
      <c r="D3" s="385"/>
      <c r="E3" s="381"/>
      <c r="F3" s="384"/>
      <c r="G3" s="382"/>
      <c r="H3" s="380"/>
      <c r="I3" s="15"/>
    </row>
    <row r="4" spans="1:9" ht="12.75" customHeight="1">
      <c r="A4" s="386"/>
      <c r="B4" s="380"/>
      <c r="C4" s="381" t="s">
        <v>31</v>
      </c>
      <c r="D4" s="385"/>
      <c r="E4" s="381"/>
      <c r="F4" s="384"/>
      <c r="G4" s="387"/>
      <c r="H4" s="380"/>
      <c r="I4" s="15"/>
    </row>
    <row r="5" spans="1:9" ht="12.75" customHeight="1">
      <c r="A5" s="380"/>
      <c r="B5" s="386"/>
      <c r="C5" s="388"/>
      <c r="D5" s="387"/>
      <c r="E5" s="383" t="s">
        <v>1552</v>
      </c>
      <c r="F5" s="384"/>
      <c r="G5" s="387"/>
      <c r="H5" s="380"/>
      <c r="I5" s="15"/>
    </row>
    <row r="6" spans="1:9" ht="12.75" customHeight="1">
      <c r="A6" s="389" t="s">
        <v>39</v>
      </c>
      <c r="B6" s="386"/>
      <c r="C6" s="388"/>
      <c r="D6" s="387"/>
      <c r="E6" s="388"/>
      <c r="F6" s="384"/>
      <c r="G6" s="387"/>
      <c r="H6" s="380"/>
      <c r="I6" s="15"/>
    </row>
    <row r="7" spans="1:9" ht="12.75" customHeight="1">
      <c r="A7" s="390" t="s">
        <v>312</v>
      </c>
      <c r="B7" s="390"/>
      <c r="C7" s="856" t="s">
        <v>1553</v>
      </c>
      <c r="D7" s="856"/>
      <c r="E7" s="553" t="s">
        <v>1554</v>
      </c>
      <c r="F7" s="384"/>
      <c r="G7" s="382"/>
      <c r="H7" s="380"/>
      <c r="I7" s="15"/>
    </row>
    <row r="8" spans="1:9" ht="12.75" customHeight="1">
      <c r="A8" s="392" t="s">
        <v>243</v>
      </c>
      <c r="B8" s="380"/>
      <c r="C8" s="393" t="s">
        <v>0</v>
      </c>
      <c r="D8" s="394" t="s">
        <v>1</v>
      </c>
      <c r="E8" s="393" t="s">
        <v>0</v>
      </c>
      <c r="F8" s="394" t="s">
        <v>1</v>
      </c>
      <c r="G8" s="382"/>
      <c r="H8" s="380"/>
      <c r="I8" s="15"/>
    </row>
    <row r="9" spans="1:9" ht="12.75" customHeight="1">
      <c r="A9" s="389" t="s">
        <v>1348</v>
      </c>
      <c r="B9" s="380"/>
      <c r="C9" s="413">
        <v>0</v>
      </c>
      <c r="D9" s="400">
        <v>0</v>
      </c>
      <c r="E9" s="413">
        <v>2991.7</v>
      </c>
      <c r="F9" s="400">
        <v>77.01403884079286</v>
      </c>
      <c r="G9" s="382"/>
      <c r="H9" s="380"/>
      <c r="I9" s="15"/>
    </row>
    <row r="10" spans="1:9" ht="12.75" customHeight="1">
      <c r="A10" s="389" t="s">
        <v>1207</v>
      </c>
      <c r="B10" s="380"/>
      <c r="C10" s="413">
        <v>2986.5</v>
      </c>
      <c r="D10" s="400">
        <v>78.33333333333333</v>
      </c>
      <c r="E10" s="413">
        <v>33423.3</v>
      </c>
      <c r="F10" s="400">
        <v>101.98627903289022</v>
      </c>
      <c r="G10" s="382"/>
      <c r="H10" s="380"/>
      <c r="I10" s="15"/>
    </row>
    <row r="11" spans="1:9" ht="12.75" customHeight="1">
      <c r="A11" s="389" t="s">
        <v>277</v>
      </c>
      <c r="B11" s="380"/>
      <c r="C11" s="413">
        <v>0</v>
      </c>
      <c r="D11" s="400">
        <v>0</v>
      </c>
      <c r="E11" s="413">
        <v>85350.19999999998</v>
      </c>
      <c r="F11" s="400">
        <v>122.455201042294</v>
      </c>
      <c r="G11" s="382"/>
      <c r="H11" s="380"/>
      <c r="I11" s="15"/>
    </row>
    <row r="12" spans="1:9" ht="12.75" customHeight="1">
      <c r="A12" s="389" t="s">
        <v>279</v>
      </c>
      <c r="B12" s="380"/>
      <c r="C12" s="413">
        <v>0</v>
      </c>
      <c r="D12" s="400">
        <v>0</v>
      </c>
      <c r="E12" s="413">
        <v>2991</v>
      </c>
      <c r="F12" s="400">
        <v>240.16666666666666</v>
      </c>
      <c r="G12" s="382"/>
      <c r="H12" s="380"/>
      <c r="I12" s="15"/>
    </row>
    <row r="13" spans="1:9" ht="12.75" customHeight="1">
      <c r="A13" s="389" t="s">
        <v>278</v>
      </c>
      <c r="B13" s="380"/>
      <c r="C13" s="413">
        <v>1479</v>
      </c>
      <c r="D13" s="400">
        <v>110.04056795131847</v>
      </c>
      <c r="E13" s="413">
        <v>136236.3</v>
      </c>
      <c r="F13" s="400">
        <v>182.6823717320568</v>
      </c>
      <c r="G13" s="382"/>
      <c r="H13" s="380"/>
      <c r="I13" s="15"/>
    </row>
    <row r="14" spans="1:9" ht="12.75" customHeight="1">
      <c r="A14" s="389" t="s">
        <v>1208</v>
      </c>
      <c r="B14" s="380"/>
      <c r="C14" s="413">
        <v>1489.5</v>
      </c>
      <c r="D14" s="400">
        <v>119.6703591809332</v>
      </c>
      <c r="E14" s="413">
        <v>53331.2</v>
      </c>
      <c r="F14" s="400">
        <v>180.86464021060846</v>
      </c>
      <c r="G14" s="382"/>
      <c r="H14" s="380"/>
      <c r="I14" s="15"/>
    </row>
    <row r="15" spans="1:9" ht="12.75" customHeight="1">
      <c r="A15" s="389" t="s">
        <v>1349</v>
      </c>
      <c r="B15" s="380"/>
      <c r="C15" s="413">
        <v>2982</v>
      </c>
      <c r="D15" s="400">
        <v>166.66666666666666</v>
      </c>
      <c r="E15" s="413">
        <v>2982</v>
      </c>
      <c r="F15" s="400">
        <v>166.66666666666666</v>
      </c>
      <c r="G15" s="382"/>
      <c r="H15" s="380"/>
      <c r="I15" s="15"/>
    </row>
    <row r="16" spans="1:9" ht="12.75" customHeight="1">
      <c r="A16" s="389" t="s">
        <v>280</v>
      </c>
      <c r="B16" s="380"/>
      <c r="C16" s="413">
        <v>10470.1</v>
      </c>
      <c r="D16" s="400">
        <v>89.29004498524368</v>
      </c>
      <c r="E16" s="413">
        <v>348429.50000000006</v>
      </c>
      <c r="F16" s="400">
        <v>151.22290018497284</v>
      </c>
      <c r="G16" s="382"/>
      <c r="H16" s="380"/>
      <c r="I16" s="15"/>
    </row>
    <row r="17" spans="1:9" ht="12.75" customHeight="1">
      <c r="A17" s="389" t="s">
        <v>281</v>
      </c>
      <c r="B17" s="380"/>
      <c r="C17" s="413">
        <v>0</v>
      </c>
      <c r="D17" s="400">
        <v>0</v>
      </c>
      <c r="E17" s="413">
        <v>108539.89999999998</v>
      </c>
      <c r="F17" s="400">
        <v>112.63542439232027</v>
      </c>
      <c r="G17" s="382"/>
      <c r="H17" s="380"/>
      <c r="I17" s="15"/>
    </row>
    <row r="18" spans="1:9" ht="12.75" customHeight="1">
      <c r="A18" s="389" t="s">
        <v>1209</v>
      </c>
      <c r="B18" s="380"/>
      <c r="C18" s="413">
        <v>0</v>
      </c>
      <c r="D18" s="400">
        <v>0</v>
      </c>
      <c r="E18" s="413">
        <v>4234.9</v>
      </c>
      <c r="F18" s="400">
        <v>88.83397482821319</v>
      </c>
      <c r="G18" s="382"/>
      <c r="H18" s="380"/>
      <c r="I18" s="15"/>
    </row>
    <row r="19" spans="1:9" ht="12.75" customHeight="1">
      <c r="A19" s="389" t="s">
        <v>1210</v>
      </c>
      <c r="B19" s="380"/>
      <c r="C19" s="413">
        <v>0</v>
      </c>
      <c r="D19" s="400">
        <v>0</v>
      </c>
      <c r="E19" s="413">
        <v>11966.1</v>
      </c>
      <c r="F19" s="400">
        <v>100</v>
      </c>
      <c r="G19" s="382"/>
      <c r="H19" s="380"/>
      <c r="I19" s="15"/>
    </row>
    <row r="20" spans="1:9" ht="12.75" customHeight="1">
      <c r="A20" s="389" t="s">
        <v>1211</v>
      </c>
      <c r="B20" s="380"/>
      <c r="C20" s="413">
        <v>5984.1</v>
      </c>
      <c r="D20" s="400">
        <v>177.18906769606124</v>
      </c>
      <c r="E20" s="413">
        <v>33939.3</v>
      </c>
      <c r="F20" s="400">
        <v>193.33129734555516</v>
      </c>
      <c r="G20" s="382"/>
      <c r="H20" s="380"/>
      <c r="I20" s="15"/>
    </row>
    <row r="21" spans="1:9" ht="12.75" customHeight="1">
      <c r="A21" s="389" t="s">
        <v>1212</v>
      </c>
      <c r="B21" s="380"/>
      <c r="C21" s="413">
        <v>4985.7</v>
      </c>
      <c r="D21" s="400">
        <v>133.79946647411597</v>
      </c>
      <c r="E21" s="413">
        <v>48348.79999999999</v>
      </c>
      <c r="F21" s="400">
        <v>157.14999751803566</v>
      </c>
      <c r="G21" s="382"/>
      <c r="H21" s="380"/>
      <c r="I21" s="15"/>
    </row>
    <row r="22" spans="1:9" ht="12.75" customHeight="1">
      <c r="A22" s="389" t="s">
        <v>282</v>
      </c>
      <c r="B22" s="380"/>
      <c r="C22" s="413">
        <v>994</v>
      </c>
      <c r="D22" s="400">
        <v>124</v>
      </c>
      <c r="E22" s="413">
        <v>93951.09999999998</v>
      </c>
      <c r="F22" s="400">
        <v>169.09556992946335</v>
      </c>
      <c r="G22" s="382"/>
      <c r="H22" s="380"/>
      <c r="I22" s="15"/>
    </row>
    <row r="23" spans="1:9" ht="12.75" customHeight="1">
      <c r="A23" s="389" t="s">
        <v>283</v>
      </c>
      <c r="B23" s="380"/>
      <c r="C23" s="413">
        <v>17582.4</v>
      </c>
      <c r="D23" s="400">
        <v>220.56159568659567</v>
      </c>
      <c r="E23" s="413">
        <v>591234.7000000002</v>
      </c>
      <c r="F23" s="400">
        <v>256.3684841231409</v>
      </c>
      <c r="G23" s="382"/>
      <c r="H23" s="380"/>
      <c r="I23" s="15"/>
    </row>
    <row r="24" spans="1:9" ht="12.75" customHeight="1">
      <c r="A24" s="389" t="s">
        <v>284</v>
      </c>
      <c r="B24" s="380"/>
      <c r="C24" s="413">
        <v>3976</v>
      </c>
      <c r="D24" s="400">
        <v>75.875</v>
      </c>
      <c r="E24" s="413">
        <v>41314.2</v>
      </c>
      <c r="F24" s="400">
        <v>106.45619181782537</v>
      </c>
      <c r="G24" s="382"/>
      <c r="H24" s="380"/>
      <c r="I24" s="15"/>
    </row>
    <row r="25" spans="1:9" ht="12.75" customHeight="1">
      <c r="A25" s="389" t="s">
        <v>285</v>
      </c>
      <c r="B25" s="380"/>
      <c r="C25" s="413">
        <v>3476.5</v>
      </c>
      <c r="D25" s="400">
        <v>74.28879620307781</v>
      </c>
      <c r="E25" s="413">
        <v>116588.69999999998</v>
      </c>
      <c r="F25" s="400">
        <v>162.03199538205678</v>
      </c>
      <c r="G25" s="382"/>
      <c r="H25" s="380"/>
      <c r="I25" s="15"/>
    </row>
    <row r="26" spans="1:9" ht="12.75" customHeight="1">
      <c r="A26" s="389" t="s">
        <v>1213</v>
      </c>
      <c r="B26" s="380"/>
      <c r="C26" s="413">
        <v>0</v>
      </c>
      <c r="D26" s="400">
        <v>0</v>
      </c>
      <c r="E26" s="413">
        <v>23422</v>
      </c>
      <c r="F26" s="400">
        <v>133.88325932883612</v>
      </c>
      <c r="G26" s="382"/>
      <c r="H26" s="380"/>
      <c r="I26" s="15"/>
    </row>
    <row r="27" spans="1:9" ht="12.75" customHeight="1">
      <c r="A27" s="389" t="s">
        <v>286</v>
      </c>
      <c r="B27" s="380"/>
      <c r="C27" s="413">
        <v>13978.9</v>
      </c>
      <c r="D27" s="400">
        <v>80.99980685175514</v>
      </c>
      <c r="E27" s="413">
        <v>272371.60000000003</v>
      </c>
      <c r="F27" s="400">
        <v>200.89321684052226</v>
      </c>
      <c r="G27" s="382"/>
      <c r="H27" s="380"/>
      <c r="I27" s="15"/>
    </row>
    <row r="28" spans="1:9" ht="12.75" customHeight="1">
      <c r="A28" s="389" t="s">
        <v>1214</v>
      </c>
      <c r="B28" s="380"/>
      <c r="C28" s="413">
        <v>0</v>
      </c>
      <c r="D28" s="400">
        <v>0</v>
      </c>
      <c r="E28" s="413">
        <v>12462.5</v>
      </c>
      <c r="F28" s="400">
        <v>193.64</v>
      </c>
      <c r="G28" s="382"/>
      <c r="H28" s="380"/>
      <c r="I28" s="15"/>
    </row>
    <row r="29" spans="1:9" ht="12.75" customHeight="1">
      <c r="A29" s="389" t="s">
        <v>287</v>
      </c>
      <c r="B29" s="380"/>
      <c r="C29" s="413">
        <v>6978.8</v>
      </c>
      <c r="D29" s="400">
        <v>83.10602109245143</v>
      </c>
      <c r="E29" s="413">
        <v>192516.59999999998</v>
      </c>
      <c r="F29" s="400">
        <v>166.9517148131642</v>
      </c>
      <c r="G29" s="382"/>
      <c r="H29" s="380"/>
      <c r="I29" s="15"/>
    </row>
    <row r="30" spans="1:9" ht="12.75" customHeight="1">
      <c r="A30" s="389" t="s">
        <v>288</v>
      </c>
      <c r="B30" s="380"/>
      <c r="C30" s="413">
        <v>12971.3</v>
      </c>
      <c r="D30" s="400">
        <v>89.73890820503728</v>
      </c>
      <c r="E30" s="413">
        <v>505030.89999999997</v>
      </c>
      <c r="F30" s="400">
        <v>168.5350500335722</v>
      </c>
      <c r="G30" s="382"/>
      <c r="H30" s="380"/>
      <c r="I30" s="15"/>
    </row>
    <row r="31" spans="1:9" ht="12.75" customHeight="1">
      <c r="A31" s="389" t="s">
        <v>1215</v>
      </c>
      <c r="B31" s="380"/>
      <c r="C31" s="413">
        <v>0</v>
      </c>
      <c r="D31" s="400">
        <v>0</v>
      </c>
      <c r="E31" s="413">
        <v>12483.4</v>
      </c>
      <c r="F31" s="400">
        <v>128.42010990595512</v>
      </c>
      <c r="G31" s="382"/>
      <c r="H31" s="380"/>
      <c r="I31" s="15"/>
    </row>
    <row r="32" spans="1:9" ht="12.75" customHeight="1">
      <c r="A32" s="389" t="s">
        <v>289</v>
      </c>
      <c r="B32" s="380"/>
      <c r="C32" s="413">
        <v>0</v>
      </c>
      <c r="D32" s="400">
        <v>0</v>
      </c>
      <c r="E32" s="413">
        <v>516761.29999999993</v>
      </c>
      <c r="F32" s="400">
        <v>210.2894787206395</v>
      </c>
      <c r="G32" s="382"/>
      <c r="H32" s="380"/>
      <c r="I32" s="15"/>
    </row>
    <row r="33" spans="1:9" ht="12.75" customHeight="1">
      <c r="A33" s="389" t="s">
        <v>290</v>
      </c>
      <c r="B33" s="380"/>
      <c r="C33" s="413">
        <v>4975.7</v>
      </c>
      <c r="D33" s="400">
        <v>75.89971260325181</v>
      </c>
      <c r="E33" s="413">
        <v>66712.2</v>
      </c>
      <c r="F33" s="400">
        <v>98.09130264029669</v>
      </c>
      <c r="G33" s="382"/>
      <c r="H33" s="380"/>
      <c r="I33" s="15"/>
    </row>
    <row r="34" spans="1:9" ht="12.75" customHeight="1">
      <c r="A34" s="389" t="s">
        <v>291</v>
      </c>
      <c r="B34" s="380"/>
      <c r="C34" s="413">
        <v>7972.7</v>
      </c>
      <c r="D34" s="400">
        <v>104.68846187615236</v>
      </c>
      <c r="E34" s="413">
        <v>257018.20000000004</v>
      </c>
      <c r="F34" s="400">
        <v>130.8839296205483</v>
      </c>
      <c r="G34" s="382"/>
      <c r="H34" s="380"/>
      <c r="I34" s="15"/>
    </row>
    <row r="35" spans="1:9" ht="12.75" customHeight="1">
      <c r="A35" s="389" t="s">
        <v>292</v>
      </c>
      <c r="B35" s="380"/>
      <c r="C35" s="413">
        <v>3986</v>
      </c>
      <c r="D35" s="400">
        <v>111.00551931761164</v>
      </c>
      <c r="E35" s="413">
        <v>148539.29999999996</v>
      </c>
      <c r="F35" s="400">
        <v>195.51728532448996</v>
      </c>
      <c r="G35" s="382"/>
      <c r="H35" s="380"/>
      <c r="I35" s="15"/>
    </row>
    <row r="36" spans="1:9" ht="12.75" customHeight="1">
      <c r="A36" s="389" t="s">
        <v>294</v>
      </c>
      <c r="B36" s="380"/>
      <c r="C36" s="413">
        <v>0</v>
      </c>
      <c r="D36" s="400">
        <v>0</v>
      </c>
      <c r="E36" s="413">
        <v>21114.2</v>
      </c>
      <c r="F36" s="400">
        <v>88.11183942559983</v>
      </c>
      <c r="G36" s="382"/>
      <c r="H36" s="380"/>
      <c r="I36" s="15"/>
    </row>
    <row r="37" spans="1:9" ht="12.75" customHeight="1">
      <c r="A37" s="389" t="s">
        <v>295</v>
      </c>
      <c r="B37" s="380"/>
      <c r="C37" s="413">
        <v>11482.7</v>
      </c>
      <c r="D37" s="400">
        <v>90.99991291246832</v>
      </c>
      <c r="E37" s="413">
        <v>178119.5</v>
      </c>
      <c r="F37" s="400">
        <v>104.59920502808507</v>
      </c>
      <c r="G37" s="382"/>
      <c r="H37" s="380"/>
      <c r="I37" s="15"/>
    </row>
    <row r="38" spans="1:9" ht="12.75" customHeight="1">
      <c r="A38" s="389" t="s">
        <v>1216</v>
      </c>
      <c r="B38" s="380"/>
      <c r="C38" s="413">
        <v>0</v>
      </c>
      <c r="D38" s="400">
        <v>0</v>
      </c>
      <c r="E38" s="413">
        <v>8975.8</v>
      </c>
      <c r="F38" s="400">
        <v>171.7285478731701</v>
      </c>
      <c r="G38" s="382"/>
      <c r="H38" s="380"/>
      <c r="I38" s="15"/>
    </row>
    <row r="39" spans="1:9" ht="12.75" customHeight="1">
      <c r="A39" s="389" t="s">
        <v>293</v>
      </c>
      <c r="B39" s="380"/>
      <c r="C39" s="413">
        <v>10418.1</v>
      </c>
      <c r="D39" s="400">
        <v>91.72140793426824</v>
      </c>
      <c r="E39" s="413">
        <v>221492.90000000002</v>
      </c>
      <c r="F39" s="400">
        <v>166.99398671469828</v>
      </c>
      <c r="G39" s="382"/>
      <c r="H39" s="380"/>
      <c r="I39" s="15"/>
    </row>
    <row r="40" spans="1:9" ht="12.75" customHeight="1">
      <c r="A40" s="389" t="s">
        <v>1217</v>
      </c>
      <c r="B40" s="380"/>
      <c r="C40" s="413">
        <v>0</v>
      </c>
      <c r="D40" s="400">
        <v>0</v>
      </c>
      <c r="E40" s="413">
        <v>33879.8</v>
      </c>
      <c r="F40" s="400">
        <v>192.20977691721907</v>
      </c>
      <c r="G40" s="382"/>
      <c r="H40" s="380"/>
      <c r="I40" s="15"/>
    </row>
    <row r="41" spans="1:9" ht="12.75" customHeight="1">
      <c r="A41" s="389" t="s">
        <v>1218</v>
      </c>
      <c r="B41" s="380"/>
      <c r="C41" s="413">
        <v>2485</v>
      </c>
      <c r="D41" s="400">
        <v>117</v>
      </c>
      <c r="E41" s="413">
        <v>40918.200000000004</v>
      </c>
      <c r="F41" s="400">
        <v>163.274146956611</v>
      </c>
      <c r="G41" s="382"/>
      <c r="H41" s="380"/>
      <c r="I41" s="15"/>
    </row>
    <row r="42" spans="1:9" ht="12.75" customHeight="1">
      <c r="A42" s="389" t="s">
        <v>296</v>
      </c>
      <c r="B42" s="380"/>
      <c r="C42" s="413">
        <v>15434.2</v>
      </c>
      <c r="D42" s="400">
        <v>71.68083865700845</v>
      </c>
      <c r="E42" s="413">
        <v>193523.30000000005</v>
      </c>
      <c r="F42" s="400">
        <v>138.4030372570124</v>
      </c>
      <c r="G42" s="382"/>
      <c r="H42" s="380"/>
      <c r="I42" s="15"/>
    </row>
    <row r="43" spans="1:9" ht="12.75" customHeight="1">
      <c r="A43" s="389" t="s">
        <v>297</v>
      </c>
      <c r="B43" s="380"/>
      <c r="C43" s="413">
        <v>5976.4</v>
      </c>
      <c r="D43" s="400">
        <v>88.59055618767151</v>
      </c>
      <c r="E43" s="413">
        <v>97438.9</v>
      </c>
      <c r="F43" s="400">
        <v>105.20536869771723</v>
      </c>
      <c r="G43" s="382"/>
      <c r="H43" s="380"/>
      <c r="I43" s="15"/>
    </row>
    <row r="44" spans="1:9" ht="12.75" customHeight="1">
      <c r="A44" s="389" t="s">
        <v>313</v>
      </c>
      <c r="B44" s="380"/>
      <c r="C44" s="413">
        <v>1738.5</v>
      </c>
      <c r="D44" s="400">
        <v>107.18780557952257</v>
      </c>
      <c r="E44" s="413">
        <v>85431.2</v>
      </c>
      <c r="F44" s="400">
        <v>156.33178159735556</v>
      </c>
      <c r="G44" s="382"/>
      <c r="H44" s="380"/>
      <c r="I44" s="15"/>
    </row>
    <row r="45" spans="1:9" ht="12.75" customHeight="1">
      <c r="A45" s="389" t="s">
        <v>298</v>
      </c>
      <c r="B45" s="380"/>
      <c r="C45" s="413">
        <v>24456.1</v>
      </c>
      <c r="D45" s="400">
        <v>85.34768421784341</v>
      </c>
      <c r="E45" s="413">
        <v>602386.1</v>
      </c>
      <c r="F45" s="400">
        <v>161.66801674208617</v>
      </c>
      <c r="G45" s="382"/>
      <c r="H45" s="380"/>
      <c r="I45" s="15"/>
    </row>
    <row r="46" spans="1:9" ht="12.75" customHeight="1">
      <c r="A46" s="389" t="s">
        <v>1219</v>
      </c>
      <c r="B46" s="380"/>
      <c r="C46" s="413">
        <v>11974</v>
      </c>
      <c r="D46" s="400">
        <v>186.42176382161352</v>
      </c>
      <c r="E46" s="413">
        <v>77860.7</v>
      </c>
      <c r="F46" s="400">
        <v>189.6012506951517</v>
      </c>
      <c r="G46" s="382"/>
      <c r="H46" s="380"/>
      <c r="I46" s="15"/>
    </row>
    <row r="47" spans="1:9" ht="12.75" customHeight="1">
      <c r="A47" s="389" t="s">
        <v>299</v>
      </c>
      <c r="B47" s="380"/>
      <c r="C47" s="413">
        <v>1994.7</v>
      </c>
      <c r="D47" s="400">
        <v>83.74798215270467</v>
      </c>
      <c r="E47" s="413">
        <v>80739.99999999999</v>
      </c>
      <c r="F47" s="400">
        <v>114.11559326232353</v>
      </c>
      <c r="G47" s="382"/>
      <c r="H47" s="380"/>
      <c r="I47" s="15"/>
    </row>
    <row r="48" spans="1:9" ht="12.75" customHeight="1">
      <c r="A48" s="389" t="s">
        <v>1220</v>
      </c>
      <c r="B48" s="380"/>
      <c r="C48" s="413">
        <v>0</v>
      </c>
      <c r="D48" s="400">
        <v>0</v>
      </c>
      <c r="E48" s="413">
        <v>17966.1</v>
      </c>
      <c r="F48" s="400">
        <v>108.66740694975537</v>
      </c>
      <c r="G48" s="382"/>
      <c r="H48" s="380"/>
      <c r="I48" s="15"/>
    </row>
    <row r="49" spans="1:9" ht="12.75" customHeight="1">
      <c r="A49" s="389" t="s">
        <v>300</v>
      </c>
      <c r="B49" s="380"/>
      <c r="C49" s="413">
        <v>4483</v>
      </c>
      <c r="D49" s="400">
        <v>89.11510149453491</v>
      </c>
      <c r="E49" s="413">
        <v>97554.2</v>
      </c>
      <c r="F49" s="400">
        <v>112.42301202818535</v>
      </c>
      <c r="G49" s="382"/>
      <c r="H49" s="380"/>
      <c r="I49" s="15"/>
    </row>
    <row r="50" spans="1:9" ht="12.75" customHeight="1">
      <c r="A50" s="389" t="s">
        <v>301</v>
      </c>
      <c r="B50" s="380"/>
      <c r="C50" s="413">
        <v>30918.2</v>
      </c>
      <c r="D50" s="400">
        <v>168.95626524183166</v>
      </c>
      <c r="E50" s="413">
        <v>928264.2999999999</v>
      </c>
      <c r="F50" s="400">
        <v>190.92975201136142</v>
      </c>
      <c r="G50" s="382"/>
      <c r="H50" s="380"/>
      <c r="I50" s="15"/>
    </row>
    <row r="51" spans="1:9" ht="12.75" customHeight="1">
      <c r="A51" s="389" t="s">
        <v>302</v>
      </c>
      <c r="B51" s="380"/>
      <c r="C51" s="413">
        <v>15452</v>
      </c>
      <c r="D51" s="400">
        <v>90.42337561480714</v>
      </c>
      <c r="E51" s="413">
        <v>212944.00000000006</v>
      </c>
      <c r="F51" s="400">
        <v>107.41971410323839</v>
      </c>
      <c r="G51" s="382"/>
      <c r="H51" s="380"/>
      <c r="I51" s="15"/>
    </row>
    <row r="52" spans="1:9" ht="12.75" customHeight="1">
      <c r="A52" s="389" t="s">
        <v>303</v>
      </c>
      <c r="B52" s="380"/>
      <c r="C52" s="413">
        <v>13957</v>
      </c>
      <c r="D52" s="400">
        <v>120.39506340904205</v>
      </c>
      <c r="E52" s="413">
        <v>192933.2</v>
      </c>
      <c r="F52" s="400">
        <v>125.59482038342804</v>
      </c>
      <c r="G52" s="382"/>
      <c r="H52" s="380"/>
      <c r="I52" s="15"/>
    </row>
    <row r="53" spans="1:9" ht="12.75" customHeight="1">
      <c r="A53" s="389" t="s">
        <v>314</v>
      </c>
      <c r="B53" s="380"/>
      <c r="C53" s="413">
        <v>5976</v>
      </c>
      <c r="D53" s="400">
        <v>79.99874497991968</v>
      </c>
      <c r="E53" s="413">
        <v>71068.2</v>
      </c>
      <c r="F53" s="400">
        <v>156.01420044408047</v>
      </c>
      <c r="G53" s="382"/>
      <c r="H53" s="380"/>
      <c r="I53" s="15"/>
    </row>
    <row r="54" spans="1:9" ht="12.75" customHeight="1">
      <c r="A54" s="389" t="s">
        <v>1221</v>
      </c>
      <c r="B54" s="380"/>
      <c r="C54" s="501">
        <v>0</v>
      </c>
      <c r="D54" s="404">
        <v>0</v>
      </c>
      <c r="E54" s="501">
        <v>12413.2</v>
      </c>
      <c r="F54" s="404">
        <v>97.331026649051</v>
      </c>
      <c r="G54" s="382"/>
      <c r="H54" s="380"/>
      <c r="I54" s="15"/>
    </row>
    <row r="55" spans="1:9" ht="12.75" customHeight="1">
      <c r="A55" s="389" t="s">
        <v>304</v>
      </c>
      <c r="B55" s="380"/>
      <c r="C55" s="501">
        <v>264015.10000000003</v>
      </c>
      <c r="D55" s="404">
        <v>115.922807066717</v>
      </c>
      <c r="E55" s="501">
        <v>6898194.699999999</v>
      </c>
      <c r="F55" s="404">
        <v>169.86779542479425</v>
      </c>
      <c r="G55" s="382"/>
      <c r="H55" s="380"/>
      <c r="I55" s="15"/>
    </row>
    <row r="56" spans="1:9" ht="12.75" customHeight="1">
      <c r="A56" s="392" t="s">
        <v>36</v>
      </c>
      <c r="B56" s="390"/>
      <c r="C56" s="393"/>
      <c r="D56" s="394"/>
      <c r="E56" s="393"/>
      <c r="F56" s="394"/>
      <c r="G56" s="382"/>
      <c r="H56" s="380"/>
      <c r="I56" s="15"/>
    </row>
    <row r="57" spans="1:9" ht="12.75" customHeight="1">
      <c r="A57" s="392" t="s">
        <v>1222</v>
      </c>
      <c r="B57" s="390"/>
      <c r="C57" s="393" t="s">
        <v>0</v>
      </c>
      <c r="D57" s="394" t="s">
        <v>1</v>
      </c>
      <c r="E57" s="393" t="s">
        <v>0</v>
      </c>
      <c r="F57" s="394" t="s">
        <v>1</v>
      </c>
      <c r="G57" s="382"/>
      <c r="H57" s="380"/>
      <c r="I57" s="15"/>
    </row>
    <row r="58" spans="1:9" ht="12.75" customHeight="1">
      <c r="A58" s="389" t="s">
        <v>1223</v>
      </c>
      <c r="B58" s="380"/>
      <c r="C58" s="413">
        <v>0</v>
      </c>
      <c r="D58" s="400">
        <v>0</v>
      </c>
      <c r="E58" s="413">
        <v>10979.6</v>
      </c>
      <c r="F58" s="400">
        <v>122.77976429013806</v>
      </c>
      <c r="G58" s="382"/>
      <c r="H58" s="380"/>
      <c r="I58" s="15"/>
    </row>
    <row r="59" spans="1:9" ht="12.75" customHeight="1">
      <c r="A59" s="389" t="s">
        <v>1224</v>
      </c>
      <c r="B59" s="380"/>
      <c r="C59" s="413">
        <v>3988</v>
      </c>
      <c r="D59" s="400">
        <v>87.125</v>
      </c>
      <c r="E59" s="501">
        <v>15356.6</v>
      </c>
      <c r="F59" s="404">
        <v>130.29511740880142</v>
      </c>
      <c r="G59" s="382"/>
      <c r="H59" s="380"/>
      <c r="I59" s="15"/>
    </row>
    <row r="60" spans="1:9" ht="12.75" customHeight="1">
      <c r="A60" s="389" t="s">
        <v>1225</v>
      </c>
      <c r="B60" s="380"/>
      <c r="C60" s="501">
        <v>991</v>
      </c>
      <c r="D60" s="404">
        <v>86</v>
      </c>
      <c r="E60" s="501">
        <v>44894.5</v>
      </c>
      <c r="F60" s="404">
        <v>159.90756551470668</v>
      </c>
      <c r="G60" s="382"/>
      <c r="H60" s="380"/>
      <c r="I60" s="15"/>
    </row>
    <row r="61" spans="1:9" ht="12.75" customHeight="1">
      <c r="A61" s="389" t="s">
        <v>304</v>
      </c>
      <c r="B61" s="380"/>
      <c r="C61" s="501">
        <v>4979</v>
      </c>
      <c r="D61" s="404">
        <v>86.90108455513155</v>
      </c>
      <c r="E61" s="501">
        <v>71230.7</v>
      </c>
      <c r="F61" s="404">
        <v>147.80049753828052</v>
      </c>
      <c r="G61" s="382"/>
      <c r="H61" s="380"/>
      <c r="I61" s="15"/>
    </row>
    <row r="62" spans="1:9" ht="12.75" customHeight="1">
      <c r="A62" s="389" t="s">
        <v>1226</v>
      </c>
      <c r="B62" s="390"/>
      <c r="C62" s="393">
        <v>268994.10000000003</v>
      </c>
      <c r="D62" s="394">
        <v>115.38562369955325</v>
      </c>
      <c r="E62" s="393">
        <v>6969425.399999999</v>
      </c>
      <c r="F62" s="394">
        <v>169.64225759558312</v>
      </c>
      <c r="G62" s="382"/>
      <c r="H62" s="380"/>
      <c r="I62" s="15"/>
    </row>
    <row r="63" spans="1:9" ht="12.75" customHeight="1">
      <c r="A63" s="392" t="s">
        <v>1227</v>
      </c>
      <c r="B63" s="390"/>
      <c r="C63" s="393" t="s">
        <v>306</v>
      </c>
      <c r="D63" s="394" t="s">
        <v>307</v>
      </c>
      <c r="E63" s="393" t="s">
        <v>306</v>
      </c>
      <c r="F63" s="394" t="s">
        <v>307</v>
      </c>
      <c r="G63" s="382"/>
      <c r="H63" s="380"/>
      <c r="I63" s="15"/>
    </row>
    <row r="64" spans="1:9" ht="12.75" customHeight="1">
      <c r="A64" s="389" t="s">
        <v>287</v>
      </c>
      <c r="B64" s="380"/>
      <c r="C64" s="413">
        <v>20</v>
      </c>
      <c r="D64" s="400">
        <v>1000</v>
      </c>
      <c r="E64" s="413">
        <v>281</v>
      </c>
      <c r="F64" s="400">
        <v>1143.629893238434</v>
      </c>
      <c r="G64" s="382"/>
      <c r="H64" s="380"/>
      <c r="I64" s="15"/>
    </row>
    <row r="65" spans="1:9" ht="12.75" customHeight="1">
      <c r="A65" s="389" t="s">
        <v>1218</v>
      </c>
      <c r="B65" s="380"/>
      <c r="C65" s="501">
        <v>0</v>
      </c>
      <c r="D65" s="404">
        <v>0</v>
      </c>
      <c r="E65" s="501">
        <v>12</v>
      </c>
      <c r="F65" s="404">
        <v>1212.5</v>
      </c>
      <c r="G65" s="382"/>
      <c r="H65" s="380"/>
      <c r="I65" s="15"/>
    </row>
    <row r="66" spans="1:9" ht="12.75" customHeight="1">
      <c r="A66" s="389" t="s">
        <v>304</v>
      </c>
      <c r="B66" s="380"/>
      <c r="C66" s="501">
        <v>20</v>
      </c>
      <c r="D66" s="404">
        <v>1000</v>
      </c>
      <c r="E66" s="501">
        <v>293</v>
      </c>
      <c r="F66" s="404">
        <v>1146.4505119453925</v>
      </c>
      <c r="G66" s="382"/>
      <c r="H66" s="380"/>
      <c r="I66" s="15"/>
    </row>
    <row r="67" spans="1:9" ht="12.75" customHeight="1">
      <c r="A67" s="389" t="s">
        <v>1226</v>
      </c>
      <c r="B67" s="390"/>
      <c r="C67" s="393">
        <v>269014.10000000003</v>
      </c>
      <c r="D67" s="394">
        <v>115.451390837878</v>
      </c>
      <c r="E67" s="393">
        <v>6970216.899999999</v>
      </c>
      <c r="F67" s="394">
        <v>169.67669305958037</v>
      </c>
      <c r="G67" s="382"/>
      <c r="H67" s="380"/>
      <c r="I67" s="15"/>
    </row>
    <row r="68" spans="1:9" ht="12.75" customHeight="1">
      <c r="A68" s="392" t="s">
        <v>1228</v>
      </c>
      <c r="B68" s="390"/>
      <c r="C68" s="393" t="s">
        <v>0</v>
      </c>
      <c r="D68" s="394" t="s">
        <v>1</v>
      </c>
      <c r="E68" s="393" t="s">
        <v>0</v>
      </c>
      <c r="F68" s="394" t="s">
        <v>1</v>
      </c>
      <c r="G68" s="382"/>
      <c r="H68" s="380"/>
      <c r="I68" s="15"/>
    </row>
    <row r="69" spans="1:9" ht="12.75" customHeight="1">
      <c r="A69" s="389" t="s">
        <v>278</v>
      </c>
      <c r="B69" s="380"/>
      <c r="C69" s="413">
        <v>0</v>
      </c>
      <c r="D69" s="400">
        <v>0</v>
      </c>
      <c r="E69" s="413">
        <v>1183</v>
      </c>
      <c r="F69" s="400">
        <v>217.62890955198648</v>
      </c>
      <c r="G69" s="382"/>
      <c r="H69" s="380"/>
      <c r="I69" s="15"/>
    </row>
    <row r="70" spans="1:9" ht="12.75" customHeight="1">
      <c r="A70" s="389" t="s">
        <v>294</v>
      </c>
      <c r="B70" s="380"/>
      <c r="C70" s="501">
        <v>0</v>
      </c>
      <c r="D70" s="404">
        <v>0</v>
      </c>
      <c r="E70" s="501">
        <v>497</v>
      </c>
      <c r="F70" s="404">
        <v>115</v>
      </c>
      <c r="G70" s="382"/>
      <c r="H70" s="380"/>
      <c r="I70" s="15"/>
    </row>
    <row r="71" spans="1:9" ht="12.75" customHeight="1">
      <c r="A71" s="389" t="s">
        <v>304</v>
      </c>
      <c r="B71" s="380"/>
      <c r="C71" s="501">
        <v>0</v>
      </c>
      <c r="D71" s="404">
        <v>0</v>
      </c>
      <c r="E71" s="501">
        <v>1680</v>
      </c>
      <c r="F71" s="404">
        <v>187.26785714285714</v>
      </c>
      <c r="G71" s="382"/>
      <c r="H71" s="380"/>
      <c r="I71" s="15"/>
    </row>
    <row r="72" spans="1:9" ht="12.75" customHeight="1">
      <c r="A72" s="389" t="s">
        <v>308</v>
      </c>
      <c r="B72" s="380"/>
      <c r="C72" s="501">
        <v>269014.10000000003</v>
      </c>
      <c r="D72" s="404">
        <v>115.451390837878</v>
      </c>
      <c r="E72" s="662">
        <v>6971398.399999999</v>
      </c>
      <c r="F72" s="404">
        <v>169.68755924205965</v>
      </c>
      <c r="G72" s="382"/>
      <c r="H72" s="501"/>
      <c r="I72" s="15"/>
    </row>
    <row r="73" spans="1:9" ht="12.75" customHeight="1">
      <c r="A73" s="392"/>
      <c r="B73" s="659"/>
      <c r="C73" s="628" t="s">
        <v>1553</v>
      </c>
      <c r="D73" s="408"/>
      <c r="E73" s="601"/>
      <c r="F73" s="628" t="s">
        <v>1554</v>
      </c>
      <c r="G73" s="663"/>
      <c r="H73" s="664"/>
      <c r="I73" s="15"/>
    </row>
    <row r="74" spans="1:9" ht="12.75" customHeight="1">
      <c r="A74" s="389" t="s">
        <v>40</v>
      </c>
      <c r="B74" s="380" t="s">
        <v>41</v>
      </c>
      <c r="C74" s="413" t="s">
        <v>0</v>
      </c>
      <c r="D74" s="400" t="s">
        <v>164</v>
      </c>
      <c r="E74" s="413" t="s">
        <v>41</v>
      </c>
      <c r="F74" s="400" t="s">
        <v>0</v>
      </c>
      <c r="G74" s="382" t="s">
        <v>164</v>
      </c>
      <c r="H74" s="665" t="s">
        <v>2</v>
      </c>
      <c r="I74" s="15"/>
    </row>
    <row r="75" spans="1:9" ht="12.75" customHeight="1">
      <c r="A75" s="389" t="s">
        <v>42</v>
      </c>
      <c r="B75" s="380">
        <v>30</v>
      </c>
      <c r="C75" s="413">
        <v>1491</v>
      </c>
      <c r="D75" s="400">
        <v>69</v>
      </c>
      <c r="E75" s="624">
        <v>35</v>
      </c>
      <c r="F75" s="399">
        <v>1740.5</v>
      </c>
      <c r="G75" s="382">
        <v>89.21229531743752</v>
      </c>
      <c r="H75" s="665">
        <v>0.0002496629657544748</v>
      </c>
      <c r="I75" s="15"/>
    </row>
    <row r="76" spans="1:9" ht="12.75" customHeight="1">
      <c r="A76" s="389" t="s">
        <v>43</v>
      </c>
      <c r="B76" s="390">
        <v>5370</v>
      </c>
      <c r="C76" s="393">
        <v>267523.1</v>
      </c>
      <c r="D76" s="394">
        <v>115.71028071968365</v>
      </c>
      <c r="E76" s="625">
        <v>139756</v>
      </c>
      <c r="F76" s="409">
        <v>6969657.8999999985</v>
      </c>
      <c r="G76" s="502">
        <v>169.70765595252533</v>
      </c>
      <c r="H76" s="666">
        <v>0.9997503370342455</v>
      </c>
      <c r="I76" s="15"/>
    </row>
    <row r="77" spans="1:9" ht="12.75" customHeight="1">
      <c r="A77" s="392" t="s">
        <v>44</v>
      </c>
      <c r="B77" s="390">
        <v>5400</v>
      </c>
      <c r="C77" s="393">
        <v>269014.1</v>
      </c>
      <c r="D77" s="394">
        <v>115.45139083787802</v>
      </c>
      <c r="E77" s="625">
        <v>139791</v>
      </c>
      <c r="F77" s="409">
        <v>6971398.3999999985</v>
      </c>
      <c r="G77" s="502">
        <v>169.6875592420597</v>
      </c>
      <c r="H77" s="666">
        <v>1</v>
      </c>
      <c r="I77" s="15"/>
    </row>
    <row r="78" spans="1:9" ht="12.75" customHeight="1">
      <c r="A78" s="392"/>
      <c r="B78" s="380"/>
      <c r="C78" s="393"/>
      <c r="D78" s="394"/>
      <c r="E78" s="393"/>
      <c r="F78" s="394"/>
      <c r="G78" s="382"/>
      <c r="H78" s="380"/>
      <c r="I78" s="15"/>
    </row>
    <row r="79" spans="1:9" ht="12.75" customHeight="1">
      <c r="A79" s="392"/>
      <c r="B79" s="380"/>
      <c r="C79" s="393"/>
      <c r="D79" s="394"/>
      <c r="E79" s="393"/>
      <c r="F79" s="394"/>
      <c r="G79" s="382"/>
      <c r="H79" s="380"/>
      <c r="I79" s="15"/>
    </row>
    <row r="80" spans="1:9" ht="12.75" customHeight="1">
      <c r="A80" s="389"/>
      <c r="B80" s="380"/>
      <c r="C80" s="413"/>
      <c r="D80" s="400"/>
      <c r="E80" s="413"/>
      <c r="F80" s="400"/>
      <c r="G80" s="382"/>
      <c r="H80" s="380"/>
      <c r="I80" s="15"/>
    </row>
    <row r="81" spans="1:9" ht="12.75" customHeight="1">
      <c r="A81" s="389"/>
      <c r="B81" s="380"/>
      <c r="C81" s="413"/>
      <c r="D81" s="400"/>
      <c r="E81" s="413"/>
      <c r="F81" s="400"/>
      <c r="G81" s="382"/>
      <c r="H81" s="380"/>
      <c r="I81" s="15"/>
    </row>
    <row r="82" spans="1:9" ht="12.75" customHeight="1">
      <c r="A82" s="389"/>
      <c r="B82" s="380"/>
      <c r="C82" s="413"/>
      <c r="D82" s="400"/>
      <c r="E82" s="413"/>
      <c r="F82" s="400"/>
      <c r="G82" s="382"/>
      <c r="H82" s="380"/>
      <c r="I82" s="15"/>
    </row>
    <row r="83" spans="1:9" ht="12.75" customHeight="1">
      <c r="A83" s="389"/>
      <c r="B83" s="380"/>
      <c r="C83" s="413"/>
      <c r="D83" s="400"/>
      <c r="E83" s="413"/>
      <c r="F83" s="400"/>
      <c r="G83" s="382"/>
      <c r="H83" s="380"/>
      <c r="I83" s="15"/>
    </row>
    <row r="84" spans="1:9" ht="12.75" customHeight="1">
      <c r="A84" s="389"/>
      <c r="B84" s="380"/>
      <c r="C84" s="413"/>
      <c r="D84" s="400"/>
      <c r="E84" s="413"/>
      <c r="F84" s="400"/>
      <c r="G84" s="382"/>
      <c r="H84" s="380"/>
      <c r="I84" s="15"/>
    </row>
    <row r="85" spans="1:9" ht="12.75" customHeight="1">
      <c r="A85" s="389"/>
      <c r="B85" s="380"/>
      <c r="C85" s="413"/>
      <c r="D85" s="400"/>
      <c r="E85" s="413"/>
      <c r="F85" s="400"/>
      <c r="G85" s="382"/>
      <c r="H85" s="380"/>
      <c r="I85" s="15"/>
    </row>
    <row r="86" spans="1:9" ht="12.75" customHeight="1">
      <c r="A86" s="389"/>
      <c r="B86" s="380"/>
      <c r="C86" s="413"/>
      <c r="D86" s="400"/>
      <c r="E86" s="413"/>
      <c r="F86" s="400"/>
      <c r="G86" s="382"/>
      <c r="H86" s="380"/>
      <c r="I86" s="15"/>
    </row>
    <row r="87" spans="1:9" ht="12.75" customHeight="1">
      <c r="A87" s="389"/>
      <c r="B87" s="380"/>
      <c r="C87" s="413"/>
      <c r="D87" s="400"/>
      <c r="E87" s="413"/>
      <c r="F87" s="400"/>
      <c r="G87" s="382"/>
      <c r="H87" s="380"/>
      <c r="I87" s="15"/>
    </row>
    <row r="88" spans="1:9" ht="12.75" customHeight="1">
      <c r="A88" s="389"/>
      <c r="B88" s="380"/>
      <c r="C88" s="413"/>
      <c r="D88" s="400"/>
      <c r="E88" s="413"/>
      <c r="F88" s="400"/>
      <c r="G88" s="382"/>
      <c r="H88" s="380"/>
      <c r="I88" s="15"/>
    </row>
    <row r="89" spans="1:9" ht="12.75" customHeight="1">
      <c r="A89" s="389"/>
      <c r="B89" s="380"/>
      <c r="C89" s="413"/>
      <c r="D89" s="400"/>
      <c r="E89" s="413"/>
      <c r="F89" s="400"/>
      <c r="G89" s="382"/>
      <c r="H89" s="380"/>
      <c r="I89" s="15"/>
    </row>
    <row r="90" spans="1:9" ht="12.75" customHeight="1">
      <c r="A90" s="389"/>
      <c r="B90" s="380"/>
      <c r="C90" s="413"/>
      <c r="D90" s="400"/>
      <c r="E90" s="413"/>
      <c r="F90" s="400"/>
      <c r="G90" s="382"/>
      <c r="H90" s="380"/>
      <c r="I90" s="15"/>
    </row>
    <row r="91" spans="1:9" ht="12.75" customHeight="1">
      <c r="A91" s="389"/>
      <c r="B91" s="380"/>
      <c r="C91" s="413"/>
      <c r="D91" s="400"/>
      <c r="E91" s="413"/>
      <c r="F91" s="400"/>
      <c r="G91" s="382"/>
      <c r="H91" s="380"/>
      <c r="I91" s="15"/>
    </row>
    <row r="92" spans="1:9" ht="12.75" customHeight="1">
      <c r="A92" s="389"/>
      <c r="B92" s="380"/>
      <c r="C92" s="413"/>
      <c r="D92" s="400"/>
      <c r="E92" s="413"/>
      <c r="F92" s="400"/>
      <c r="G92" s="382"/>
      <c r="H92" s="380"/>
      <c r="I92" s="15"/>
    </row>
    <row r="93" spans="1:9" ht="12.75" customHeight="1">
      <c r="A93" s="389"/>
      <c r="B93" s="380"/>
      <c r="C93" s="413"/>
      <c r="D93" s="400"/>
      <c r="E93" s="413"/>
      <c r="F93" s="400"/>
      <c r="G93" s="382"/>
      <c r="H93" s="380"/>
      <c r="I93" s="15"/>
    </row>
    <row r="94" spans="1:9" ht="12.75" customHeight="1">
      <c r="A94" s="389"/>
      <c r="B94" s="380"/>
      <c r="C94" s="413"/>
      <c r="D94" s="400"/>
      <c r="E94" s="413"/>
      <c r="F94" s="400"/>
      <c r="G94" s="382"/>
      <c r="H94" s="380"/>
      <c r="I94" s="15"/>
    </row>
    <row r="95" spans="1:9" ht="12.75" customHeight="1">
      <c r="A95" s="389"/>
      <c r="B95" s="380"/>
      <c r="C95" s="413"/>
      <c r="D95" s="400"/>
      <c r="E95" s="413"/>
      <c r="F95" s="400"/>
      <c r="G95" s="382"/>
      <c r="H95" s="380"/>
      <c r="I95" s="15"/>
    </row>
    <row r="96" spans="1:9" ht="12.75" customHeight="1">
      <c r="A96" s="389"/>
      <c r="B96" s="380"/>
      <c r="C96" s="413"/>
      <c r="D96" s="400"/>
      <c r="E96" s="413"/>
      <c r="F96" s="400"/>
      <c r="G96" s="382"/>
      <c r="H96" s="380"/>
      <c r="I96" s="15"/>
    </row>
    <row r="97" spans="1:9" ht="12.75" customHeight="1">
      <c r="A97" s="389"/>
      <c r="B97" s="380"/>
      <c r="C97" s="413"/>
      <c r="D97" s="400"/>
      <c r="E97" s="413"/>
      <c r="F97" s="400"/>
      <c r="G97" s="382"/>
      <c r="H97" s="380"/>
      <c r="I97" s="15"/>
    </row>
    <row r="98" spans="1:9" ht="12.75" customHeight="1">
      <c r="A98" s="389"/>
      <c r="B98" s="380"/>
      <c r="C98" s="413"/>
      <c r="D98" s="400"/>
      <c r="E98" s="413"/>
      <c r="F98" s="400"/>
      <c r="G98" s="382"/>
      <c r="H98" s="380"/>
      <c r="I98" s="15"/>
    </row>
    <row r="99" spans="1:9" ht="12.75" customHeight="1">
      <c r="A99" s="389"/>
      <c r="B99" s="380"/>
      <c r="C99" s="413"/>
      <c r="D99" s="400"/>
      <c r="E99" s="413"/>
      <c r="F99" s="400"/>
      <c r="G99" s="382"/>
      <c r="H99" s="380"/>
      <c r="I99" s="15"/>
    </row>
    <row r="100" spans="1:9" ht="12.75" customHeight="1">
      <c r="A100" s="389"/>
      <c r="B100" s="380"/>
      <c r="C100" s="413"/>
      <c r="D100" s="400"/>
      <c r="E100" s="413"/>
      <c r="F100" s="400"/>
      <c r="G100" s="382"/>
      <c r="H100" s="380"/>
      <c r="I100" s="15"/>
    </row>
    <row r="101" spans="1:9" ht="12.75" customHeight="1">
      <c r="A101" s="389"/>
      <c r="B101" s="380"/>
      <c r="C101" s="413"/>
      <c r="D101" s="400"/>
      <c r="E101" s="413"/>
      <c r="F101" s="400"/>
      <c r="G101" s="382"/>
      <c r="H101" s="380"/>
      <c r="I101" s="15"/>
    </row>
    <row r="102" spans="1:9" ht="12.75" customHeight="1">
      <c r="A102" s="389"/>
      <c r="B102" s="380"/>
      <c r="C102" s="413"/>
      <c r="D102" s="400"/>
      <c r="E102" s="413"/>
      <c r="F102" s="400"/>
      <c r="G102" s="382"/>
      <c r="H102" s="380"/>
      <c r="I102" s="15"/>
    </row>
    <row r="103" spans="1:9" ht="12.75" customHeight="1">
      <c r="A103" s="389"/>
      <c r="B103" s="380"/>
      <c r="C103" s="413"/>
      <c r="D103" s="400"/>
      <c r="E103" s="413"/>
      <c r="F103" s="400"/>
      <c r="G103" s="382"/>
      <c r="H103" s="380"/>
      <c r="I103" s="15"/>
    </row>
    <row r="104" spans="1:9" ht="12.75" customHeight="1">
      <c r="A104" s="389"/>
      <c r="B104" s="380"/>
      <c r="C104" s="413"/>
      <c r="D104" s="400"/>
      <c r="E104" s="413"/>
      <c r="F104" s="400"/>
      <c r="G104" s="382"/>
      <c r="H104" s="380"/>
      <c r="I104" s="15"/>
    </row>
    <row r="105" spans="1:9" ht="12.75" customHeight="1">
      <c r="A105" s="389"/>
      <c r="B105" s="380"/>
      <c r="C105" s="413"/>
      <c r="D105" s="400"/>
      <c r="E105" s="413"/>
      <c r="F105" s="400"/>
      <c r="G105" s="382"/>
      <c r="H105" s="380"/>
      <c r="I105" s="15"/>
    </row>
    <row r="106" spans="1:9" ht="12.75" customHeight="1">
      <c r="A106" s="389"/>
      <c r="B106" s="380"/>
      <c r="C106" s="413"/>
      <c r="D106" s="400"/>
      <c r="E106" s="413"/>
      <c r="F106" s="400"/>
      <c r="G106" s="382"/>
      <c r="H106" s="380"/>
      <c r="I106" s="15"/>
    </row>
    <row r="107" spans="1:9" ht="12.75" customHeight="1">
      <c r="A107" s="389"/>
      <c r="B107" s="380"/>
      <c r="C107" s="413"/>
      <c r="D107" s="400"/>
      <c r="E107" s="413"/>
      <c r="F107" s="400"/>
      <c r="G107" s="382"/>
      <c r="H107" s="380"/>
      <c r="I107" s="15"/>
    </row>
    <row r="108" spans="1:9" ht="12.75" customHeight="1">
      <c r="A108" s="389"/>
      <c r="B108" s="380"/>
      <c r="C108" s="413"/>
      <c r="D108" s="400"/>
      <c r="E108" s="413"/>
      <c r="F108" s="400"/>
      <c r="G108" s="382"/>
      <c r="H108" s="380"/>
      <c r="I108" s="15"/>
    </row>
    <row r="109" spans="1:9" ht="12.75" customHeight="1">
      <c r="A109" s="389"/>
      <c r="B109" s="380"/>
      <c r="C109" s="413"/>
      <c r="D109" s="400"/>
      <c r="E109" s="413"/>
      <c r="F109" s="400"/>
      <c r="G109" s="382"/>
      <c r="H109" s="380"/>
      <c r="I109" s="15"/>
    </row>
    <row r="110" spans="1:9" ht="12.75" customHeight="1">
      <c r="A110" s="389"/>
      <c r="B110" s="380"/>
      <c r="C110" s="413"/>
      <c r="D110" s="400"/>
      <c r="E110" s="413"/>
      <c r="F110" s="400"/>
      <c r="G110" s="382"/>
      <c r="H110" s="380"/>
      <c r="I110" s="15"/>
    </row>
    <row r="111" spans="1:9" ht="12.75" customHeight="1">
      <c r="A111" s="389"/>
      <c r="B111" s="380"/>
      <c r="C111" s="413"/>
      <c r="D111" s="400"/>
      <c r="E111" s="413"/>
      <c r="F111" s="400"/>
      <c r="G111" s="382"/>
      <c r="H111" s="380"/>
      <c r="I111" s="15"/>
    </row>
    <row r="112" spans="1:9" ht="12.75" customHeight="1">
      <c r="A112" s="389"/>
      <c r="B112" s="380"/>
      <c r="C112" s="413"/>
      <c r="D112" s="400"/>
      <c r="E112" s="413"/>
      <c r="F112" s="400"/>
      <c r="G112" s="382"/>
      <c r="H112" s="380"/>
      <c r="I112" s="15"/>
    </row>
    <row r="113" spans="1:9" ht="12.75" customHeight="1">
      <c r="A113" s="389"/>
      <c r="B113" s="380"/>
      <c r="C113" s="413"/>
      <c r="D113" s="400"/>
      <c r="E113" s="413"/>
      <c r="F113" s="400"/>
      <c r="G113" s="382"/>
      <c r="H113" s="380"/>
      <c r="I113" s="15"/>
    </row>
    <row r="114" spans="1:9" ht="12.75" customHeight="1">
      <c r="A114" s="389"/>
      <c r="B114" s="380"/>
      <c r="C114" s="413"/>
      <c r="D114" s="400"/>
      <c r="E114" s="413"/>
      <c r="F114" s="400"/>
      <c r="G114" s="382"/>
      <c r="H114" s="380"/>
      <c r="I114" s="15"/>
    </row>
    <row r="115" spans="1:9" ht="12.75" customHeight="1">
      <c r="A115" s="389"/>
      <c r="B115" s="380"/>
      <c r="C115" s="413"/>
      <c r="D115" s="400"/>
      <c r="E115" s="413"/>
      <c r="F115" s="400"/>
      <c r="G115" s="382"/>
      <c r="H115" s="380"/>
      <c r="I115" s="15"/>
    </row>
    <row r="116" spans="1:9" ht="12.75" customHeight="1">
      <c r="A116" s="389"/>
      <c r="B116" s="380"/>
      <c r="C116" s="413"/>
      <c r="D116" s="400"/>
      <c r="E116" s="413"/>
      <c r="F116" s="400"/>
      <c r="G116" s="382"/>
      <c r="H116" s="380"/>
      <c r="I116" s="15"/>
    </row>
    <row r="117" spans="1:9" ht="12.75" customHeight="1">
      <c r="A117" s="389"/>
      <c r="B117" s="380"/>
      <c r="C117" s="413"/>
      <c r="D117" s="400"/>
      <c r="E117" s="413"/>
      <c r="F117" s="400"/>
      <c r="G117" s="382"/>
      <c r="H117" s="380"/>
      <c r="I117" s="15"/>
    </row>
    <row r="118" spans="1:9" ht="12.75" customHeight="1">
      <c r="A118" s="389"/>
      <c r="B118" s="380"/>
      <c r="C118" s="413"/>
      <c r="D118" s="400"/>
      <c r="E118" s="413"/>
      <c r="F118" s="400"/>
      <c r="G118" s="382"/>
      <c r="H118" s="380"/>
      <c r="I118" s="15"/>
    </row>
    <row r="119" spans="1:9" ht="12.75" customHeight="1">
      <c r="A119" s="389"/>
      <c r="B119" s="380"/>
      <c r="C119" s="413"/>
      <c r="D119" s="400"/>
      <c r="E119" s="413"/>
      <c r="F119" s="400"/>
      <c r="G119" s="382"/>
      <c r="H119" s="380"/>
      <c r="I119" s="15"/>
    </row>
    <row r="120" spans="1:9" ht="12.75" customHeight="1">
      <c r="A120" s="389"/>
      <c r="B120" s="380"/>
      <c r="C120" s="413"/>
      <c r="D120" s="400"/>
      <c r="E120" s="413"/>
      <c r="F120" s="400"/>
      <c r="G120" s="382"/>
      <c r="H120" s="380"/>
      <c r="I120" s="15"/>
    </row>
    <row r="121" spans="1:9" ht="12.75" customHeight="1">
      <c r="A121" s="389"/>
      <c r="B121" s="380"/>
      <c r="C121" s="413"/>
      <c r="D121" s="400"/>
      <c r="E121" s="413"/>
      <c r="F121" s="400"/>
      <c r="G121" s="382"/>
      <c r="H121" s="380"/>
      <c r="I121" s="15"/>
    </row>
    <row r="122" spans="1:9" ht="12.75" customHeight="1">
      <c r="A122" s="389"/>
      <c r="B122" s="380"/>
      <c r="C122" s="413"/>
      <c r="D122" s="400"/>
      <c r="E122" s="413"/>
      <c r="F122" s="400"/>
      <c r="G122" s="382"/>
      <c r="H122" s="380"/>
      <c r="I122" s="15"/>
    </row>
    <row r="123" spans="1:9" ht="12.75" customHeight="1">
      <c r="A123" s="389"/>
      <c r="B123" s="380"/>
      <c r="C123" s="413"/>
      <c r="D123" s="400"/>
      <c r="E123" s="413"/>
      <c r="F123" s="400"/>
      <c r="G123" s="382"/>
      <c r="H123" s="380"/>
      <c r="I123" s="15"/>
    </row>
    <row r="124" spans="1:9" ht="12.75" customHeight="1">
      <c r="A124" s="389"/>
      <c r="B124" s="380"/>
      <c r="C124" s="501"/>
      <c r="D124" s="404"/>
      <c r="E124" s="501"/>
      <c r="F124" s="404"/>
      <c r="G124" s="382"/>
      <c r="H124" s="380"/>
      <c r="I124" s="15"/>
    </row>
    <row r="125" spans="1:9" ht="12.75" customHeight="1">
      <c r="A125" s="389"/>
      <c r="B125" s="380"/>
      <c r="C125" s="501"/>
      <c r="D125" s="404"/>
      <c r="E125" s="501"/>
      <c r="F125" s="404"/>
      <c r="G125" s="382"/>
      <c r="H125" s="380"/>
      <c r="I125" s="15"/>
    </row>
    <row r="126" spans="1:9" ht="12.75" customHeight="1">
      <c r="A126" s="392"/>
      <c r="B126" s="380"/>
      <c r="C126" s="413"/>
      <c r="D126" s="400"/>
      <c r="E126" s="413"/>
      <c r="F126" s="400"/>
      <c r="G126" s="382"/>
      <c r="H126" s="380"/>
      <c r="I126" s="15"/>
    </row>
    <row r="127" spans="1:9" ht="12.75" customHeight="1">
      <c r="A127" s="392"/>
      <c r="B127" s="390"/>
      <c r="C127" s="393"/>
      <c r="D127" s="394"/>
      <c r="E127" s="393"/>
      <c r="F127" s="394"/>
      <c r="G127" s="382"/>
      <c r="H127" s="380"/>
      <c r="I127" s="15"/>
    </row>
    <row r="128" spans="1:9" ht="12.75" customHeight="1">
      <c r="A128" s="389"/>
      <c r="B128" s="380"/>
      <c r="C128" s="413"/>
      <c r="D128" s="400"/>
      <c r="E128" s="413"/>
      <c r="F128" s="400"/>
      <c r="G128" s="382"/>
      <c r="H128" s="380"/>
      <c r="I128" s="15"/>
    </row>
    <row r="129" spans="1:9" ht="12.75" customHeight="1">
      <c r="A129" s="389"/>
      <c r="B129" s="380"/>
      <c r="C129" s="413"/>
      <c r="D129" s="400"/>
      <c r="E129" s="413"/>
      <c r="F129" s="400"/>
      <c r="G129" s="382"/>
      <c r="H129" s="380"/>
      <c r="I129" s="15"/>
    </row>
    <row r="130" spans="1:9" ht="12.75" customHeight="1">
      <c r="A130" s="389"/>
      <c r="B130" s="380"/>
      <c r="C130" s="413"/>
      <c r="D130" s="400"/>
      <c r="E130" s="501"/>
      <c r="F130" s="404"/>
      <c r="G130" s="382"/>
      <c r="H130" s="380"/>
      <c r="I130" s="15"/>
    </row>
    <row r="131" spans="1:9" ht="12.75" customHeight="1">
      <c r="A131" s="389"/>
      <c r="B131" s="380"/>
      <c r="C131" s="501"/>
      <c r="D131" s="404"/>
      <c r="E131" s="501"/>
      <c r="F131" s="404"/>
      <c r="G131" s="382"/>
      <c r="H131" s="380"/>
      <c r="I131" s="15"/>
    </row>
    <row r="132" spans="1:9" ht="12.75" customHeight="1">
      <c r="A132" s="389"/>
      <c r="B132" s="380"/>
      <c r="C132" s="501"/>
      <c r="D132" s="404"/>
      <c r="E132" s="501"/>
      <c r="F132" s="404"/>
      <c r="G132" s="382"/>
      <c r="H132" s="380"/>
      <c r="I132" s="15"/>
    </row>
    <row r="133" spans="1:9" ht="12.75" customHeight="1">
      <c r="A133" s="392"/>
      <c r="B133" s="390"/>
      <c r="C133" s="393"/>
      <c r="D133" s="394"/>
      <c r="E133" s="393"/>
      <c r="F133" s="394"/>
      <c r="G133" s="382"/>
      <c r="H133" s="380"/>
      <c r="I133" s="15"/>
    </row>
    <row r="134" spans="1:9" ht="12.75" customHeight="1">
      <c r="A134" s="389"/>
      <c r="B134" s="380"/>
      <c r="C134" s="413"/>
      <c r="D134" s="400"/>
      <c r="E134" s="413"/>
      <c r="F134" s="400"/>
      <c r="G134" s="382"/>
      <c r="H134" s="380"/>
      <c r="I134" s="15"/>
    </row>
    <row r="135" spans="1:9" ht="12.75" customHeight="1">
      <c r="A135" s="389"/>
      <c r="B135" s="380"/>
      <c r="C135" s="501"/>
      <c r="D135" s="404"/>
      <c r="E135" s="501"/>
      <c r="F135" s="404"/>
      <c r="G135" s="382"/>
      <c r="H135" s="380"/>
      <c r="I135" s="15"/>
    </row>
    <row r="136" spans="1:9" ht="12.75" customHeight="1">
      <c r="A136" s="389"/>
      <c r="B136" s="380"/>
      <c r="C136" s="501"/>
      <c r="D136" s="404"/>
      <c r="E136" s="501"/>
      <c r="F136" s="404"/>
      <c r="G136" s="382"/>
      <c r="H136" s="380"/>
      <c r="I136" s="15"/>
    </row>
    <row r="137" spans="1:9" ht="12.75" customHeight="1">
      <c r="A137" s="389"/>
      <c r="B137" s="380"/>
      <c r="C137" s="413"/>
      <c r="D137" s="400"/>
      <c r="E137" s="413"/>
      <c r="F137" s="400"/>
      <c r="G137" s="382"/>
      <c r="H137" s="380"/>
      <c r="I137" s="15"/>
    </row>
    <row r="138" spans="1:9" ht="12.75" customHeight="1">
      <c r="A138" s="392"/>
      <c r="B138" s="390"/>
      <c r="C138" s="393"/>
      <c r="D138" s="394"/>
      <c r="E138" s="393"/>
      <c r="F138" s="394"/>
      <c r="G138" s="382"/>
      <c r="H138" s="380"/>
      <c r="I138" s="15"/>
    </row>
    <row r="139" spans="1:9" ht="12.75" customHeight="1">
      <c r="A139" s="389"/>
      <c r="B139" s="380"/>
      <c r="C139" s="413"/>
      <c r="D139" s="400"/>
      <c r="E139" s="413"/>
      <c r="F139" s="400"/>
      <c r="G139" s="382"/>
      <c r="H139" s="380"/>
      <c r="I139" s="15"/>
    </row>
    <row r="140" spans="1:9" ht="12.75" customHeight="1">
      <c r="A140" s="389"/>
      <c r="B140" s="380"/>
      <c r="C140" s="413"/>
      <c r="D140" s="400"/>
      <c r="E140" s="501"/>
      <c r="F140" s="404"/>
      <c r="G140" s="382"/>
      <c r="H140" s="380"/>
      <c r="I140" s="15"/>
    </row>
    <row r="141" spans="1:9" ht="12.75" customHeight="1">
      <c r="A141" s="389"/>
      <c r="B141" s="380"/>
      <c r="C141" s="501"/>
      <c r="D141" s="404"/>
      <c r="E141" s="501"/>
      <c r="F141" s="404"/>
      <c r="G141" s="382"/>
      <c r="H141" s="380"/>
      <c r="I141" s="15"/>
    </row>
    <row r="142" spans="1:9" ht="12.75" customHeight="1">
      <c r="A142" s="389"/>
      <c r="B142" s="380"/>
      <c r="C142" s="501"/>
      <c r="D142" s="404"/>
      <c r="E142" s="501"/>
      <c r="F142" s="404"/>
      <c r="G142" s="382"/>
      <c r="H142" s="380"/>
      <c r="I142" s="15"/>
    </row>
    <row r="143" spans="1:9" ht="12.75" customHeight="1">
      <c r="A143" s="389"/>
      <c r="B143" s="380"/>
      <c r="C143" s="501"/>
      <c r="D143" s="400"/>
      <c r="F143" s="400"/>
      <c r="G143" s="382"/>
      <c r="H143" s="501"/>
      <c r="I143" s="15"/>
    </row>
    <row r="144" spans="1:9" ht="12.75" customHeight="1">
      <c r="A144" s="392"/>
      <c r="B144" s="390"/>
      <c r="C144" s="393"/>
      <c r="D144" s="394"/>
      <c r="E144" s="393"/>
      <c r="F144" s="394"/>
      <c r="G144" s="502"/>
      <c r="H144" s="390"/>
      <c r="I144" s="15"/>
    </row>
    <row r="145" spans="1:9" ht="12.75" customHeight="1">
      <c r="A145" s="389"/>
      <c r="B145" s="380"/>
      <c r="C145" s="413"/>
      <c r="D145" s="400"/>
      <c r="E145" s="624"/>
      <c r="F145" s="415"/>
      <c r="G145" s="498"/>
      <c r="H145" s="500"/>
      <c r="I145" s="15"/>
    </row>
    <row r="146" spans="1:9" ht="12.75" customHeight="1">
      <c r="A146" s="389"/>
      <c r="B146" s="390"/>
      <c r="C146" s="393"/>
      <c r="D146" s="394"/>
      <c r="E146" s="625"/>
      <c r="F146" s="424"/>
      <c r="G146" s="626"/>
      <c r="H146" s="555"/>
      <c r="I146" s="15"/>
    </row>
    <row r="147" spans="1:9" ht="12.75" customHeight="1">
      <c r="A147" s="389"/>
      <c r="B147" s="390"/>
      <c r="C147" s="393"/>
      <c r="D147" s="394"/>
      <c r="E147" s="625"/>
      <c r="F147" s="424"/>
      <c r="G147" s="626"/>
      <c r="H147" s="555"/>
      <c r="I147" s="15"/>
    </row>
    <row r="148" spans="1:9" ht="12.75" customHeight="1">
      <c r="A148" s="392"/>
      <c r="B148" s="380"/>
      <c r="C148" s="393"/>
      <c r="D148" s="394"/>
      <c r="E148" s="393"/>
      <c r="F148" s="394"/>
      <c r="G148" s="382"/>
      <c r="H148" s="380"/>
      <c r="I148" s="15"/>
    </row>
    <row r="149" spans="1:9" ht="12.75" customHeight="1">
      <c r="A149" s="141"/>
      <c r="B149" s="138"/>
      <c r="C149" s="142"/>
      <c r="D149" s="584"/>
      <c r="E149" s="142"/>
      <c r="F149" s="585"/>
      <c r="G149" s="138"/>
      <c r="H149" s="586"/>
      <c r="I149" s="15"/>
    </row>
    <row r="150" spans="1:9" ht="12.75" customHeight="1">
      <c r="A150" s="141"/>
      <c r="B150" s="138"/>
      <c r="C150" s="142"/>
      <c r="D150" s="584"/>
      <c r="E150" s="142"/>
      <c r="F150" s="585"/>
      <c r="G150" s="138"/>
      <c r="H150" s="586"/>
      <c r="I150" s="15"/>
    </row>
    <row r="151" spans="1:9" ht="12.75" customHeight="1">
      <c r="A151" s="141"/>
      <c r="B151" s="138"/>
      <c r="C151" s="142"/>
      <c r="D151" s="584"/>
      <c r="E151" s="142"/>
      <c r="F151" s="585"/>
      <c r="G151" s="138"/>
      <c r="H151" s="586"/>
      <c r="I151" s="15"/>
    </row>
    <row r="152" spans="1:9" ht="12.75" customHeight="1">
      <c r="A152" s="141"/>
      <c r="B152" s="138"/>
      <c r="C152" s="142"/>
      <c r="D152" s="584"/>
      <c r="E152" s="142"/>
      <c r="F152" s="585"/>
      <c r="G152" s="138"/>
      <c r="H152" s="586"/>
      <c r="I152" s="15"/>
    </row>
    <row r="153" spans="1:9" ht="12.75" customHeight="1">
      <c r="A153" s="141"/>
      <c r="B153" s="138"/>
      <c r="C153" s="142"/>
      <c r="D153" s="584"/>
      <c r="E153" s="142"/>
      <c r="F153" s="585"/>
      <c r="G153" s="138"/>
      <c r="H153" s="586"/>
      <c r="I153" s="15"/>
    </row>
    <row r="154" spans="1:9" ht="12.75" customHeight="1">
      <c r="A154" s="141"/>
      <c r="B154" s="138"/>
      <c r="C154" s="142"/>
      <c r="D154" s="584"/>
      <c r="E154" s="142"/>
      <c r="F154" s="585"/>
      <c r="G154" s="138"/>
      <c r="H154" s="586"/>
      <c r="I154" s="15"/>
    </row>
    <row r="155" spans="1:9" ht="12.75" customHeight="1">
      <c r="A155" s="141"/>
      <c r="B155" s="138"/>
      <c r="C155" s="142"/>
      <c r="D155" s="584"/>
      <c r="E155" s="142"/>
      <c r="F155" s="585"/>
      <c r="G155" s="138"/>
      <c r="H155" s="586"/>
      <c r="I155" s="15"/>
    </row>
    <row r="156" spans="1:9" ht="12.75" customHeight="1">
      <c r="A156" s="141"/>
      <c r="B156" s="138"/>
      <c r="C156" s="142"/>
      <c r="D156" s="584"/>
      <c r="E156" s="142"/>
      <c r="F156" s="585"/>
      <c r="G156" s="138"/>
      <c r="H156" s="586"/>
      <c r="I156" s="15"/>
    </row>
    <row r="157" spans="1:9" ht="12.75" customHeight="1">
      <c r="A157" s="141"/>
      <c r="B157" s="138"/>
      <c r="C157" s="142"/>
      <c r="D157" s="584"/>
      <c r="E157" s="142"/>
      <c r="F157" s="585"/>
      <c r="G157" s="138"/>
      <c r="H157" s="586"/>
      <c r="I157" s="15"/>
    </row>
    <row r="158" spans="1:9" ht="12.75" customHeight="1">
      <c r="A158" s="141"/>
      <c r="B158" s="138"/>
      <c r="C158" s="142"/>
      <c r="D158" s="584"/>
      <c r="E158" s="142"/>
      <c r="F158" s="585"/>
      <c r="G158" s="138"/>
      <c r="H158" s="586"/>
      <c r="I158" s="15"/>
    </row>
    <row r="159" spans="1:9" ht="12.75" customHeight="1">
      <c r="A159" s="141"/>
      <c r="B159" s="138"/>
      <c r="C159" s="142"/>
      <c r="D159" s="584"/>
      <c r="E159" s="142"/>
      <c r="F159" s="585"/>
      <c r="G159" s="138"/>
      <c r="H159" s="586"/>
      <c r="I159" s="15"/>
    </row>
    <row r="160" spans="1:9" ht="12.75" customHeight="1">
      <c r="A160" s="141"/>
      <c r="B160" s="138"/>
      <c r="C160" s="142"/>
      <c r="D160" s="584"/>
      <c r="E160" s="142"/>
      <c r="F160" s="585"/>
      <c r="G160" s="138"/>
      <c r="H160" s="586"/>
      <c r="I160" s="15"/>
    </row>
    <row r="161" spans="1:9" ht="12.75" customHeight="1">
      <c r="A161" s="141"/>
      <c r="B161" s="138"/>
      <c r="C161" s="142"/>
      <c r="D161" s="584"/>
      <c r="E161" s="142"/>
      <c r="F161" s="585"/>
      <c r="G161" s="138"/>
      <c r="H161" s="586"/>
      <c r="I161" s="15"/>
    </row>
    <row r="162" spans="1:9" ht="12.75" customHeight="1">
      <c r="A162" s="141"/>
      <c r="B162" s="138"/>
      <c r="C162" s="142"/>
      <c r="D162" s="584"/>
      <c r="E162" s="142"/>
      <c r="F162" s="585"/>
      <c r="G162" s="138"/>
      <c r="H162" s="586"/>
      <c r="I162" s="15"/>
    </row>
    <row r="163" spans="1:9" ht="12.75" customHeight="1">
      <c r="A163" s="141"/>
      <c r="B163" s="138"/>
      <c r="C163" s="142"/>
      <c r="D163" s="584"/>
      <c r="E163" s="142"/>
      <c r="F163" s="585"/>
      <c r="G163" s="138"/>
      <c r="H163" s="586"/>
      <c r="I163" s="15"/>
    </row>
    <row r="164" spans="1:9" ht="12.75" customHeight="1">
      <c r="A164" s="141"/>
      <c r="B164" s="138"/>
      <c r="C164" s="142"/>
      <c r="D164" s="584"/>
      <c r="E164" s="142"/>
      <c r="F164" s="585"/>
      <c r="G164" s="138"/>
      <c r="H164" s="586"/>
      <c r="I164" s="15"/>
    </row>
    <row r="165" spans="1:9" ht="12.75" customHeight="1">
      <c r="A165" s="141"/>
      <c r="B165" s="138"/>
      <c r="C165" s="142"/>
      <c r="D165" s="584"/>
      <c r="E165" s="142"/>
      <c r="F165" s="585"/>
      <c r="G165" s="138"/>
      <c r="H165" s="586"/>
      <c r="I165" s="15"/>
    </row>
    <row r="166" spans="1:9" ht="12.75" customHeight="1">
      <c r="A166" s="141"/>
      <c r="B166" s="138"/>
      <c r="C166" s="142"/>
      <c r="D166" s="584"/>
      <c r="E166" s="142"/>
      <c r="F166" s="585"/>
      <c r="G166" s="138"/>
      <c r="H166" s="586"/>
      <c r="I166" s="15"/>
    </row>
    <row r="167" spans="1:9" ht="12.75" customHeight="1">
      <c r="A167" s="141"/>
      <c r="B167" s="138"/>
      <c r="C167" s="142"/>
      <c r="D167" s="584"/>
      <c r="E167" s="142"/>
      <c r="F167" s="585"/>
      <c r="G167" s="138"/>
      <c r="H167" s="586"/>
      <c r="I167" s="15"/>
    </row>
    <row r="168" spans="1:9" ht="12.75" customHeight="1">
      <c r="A168" s="141"/>
      <c r="B168" s="138"/>
      <c r="C168" s="142"/>
      <c r="D168" s="584"/>
      <c r="E168" s="142"/>
      <c r="F168" s="585"/>
      <c r="G168" s="138"/>
      <c r="H168" s="586"/>
      <c r="I168" s="15"/>
    </row>
    <row r="169" spans="1:9" ht="12.75" customHeight="1">
      <c r="A169" s="141"/>
      <c r="B169" s="138"/>
      <c r="C169" s="142"/>
      <c r="D169" s="584"/>
      <c r="E169" s="142"/>
      <c r="F169" s="585"/>
      <c r="G169" s="138"/>
      <c r="H169" s="586"/>
      <c r="I169" s="15"/>
    </row>
    <row r="170" spans="1:9" ht="12.75" customHeight="1">
      <c r="A170" s="141"/>
      <c r="B170" s="138"/>
      <c r="C170" s="142"/>
      <c r="D170" s="584"/>
      <c r="E170" s="142"/>
      <c r="F170" s="585"/>
      <c r="G170" s="138"/>
      <c r="H170" s="586"/>
      <c r="I170" s="15"/>
    </row>
    <row r="171" spans="1:9" ht="12.75" customHeight="1">
      <c r="A171" s="141"/>
      <c r="B171" s="138"/>
      <c r="C171" s="142"/>
      <c r="D171" s="584"/>
      <c r="E171" s="142"/>
      <c r="F171" s="585"/>
      <c r="G171" s="138"/>
      <c r="H171" s="586"/>
      <c r="I171" s="15"/>
    </row>
    <row r="172" spans="1:9" ht="12.75" customHeight="1">
      <c r="A172" s="141"/>
      <c r="B172" s="138"/>
      <c r="C172" s="142"/>
      <c r="D172" s="584"/>
      <c r="E172" s="142"/>
      <c r="F172" s="585"/>
      <c r="G172" s="138"/>
      <c r="H172" s="586"/>
      <c r="I172" s="15"/>
    </row>
    <row r="173" spans="1:9" ht="12.75" customHeight="1">
      <c r="A173" s="141"/>
      <c r="B173" s="138"/>
      <c r="C173" s="142"/>
      <c r="D173" s="584"/>
      <c r="E173" s="142"/>
      <c r="F173" s="585"/>
      <c r="G173" s="138"/>
      <c r="H173" s="586"/>
      <c r="I173" s="15"/>
    </row>
    <row r="174" spans="1:9" ht="12.75" customHeight="1">
      <c r="A174" s="141"/>
      <c r="B174" s="138"/>
      <c r="C174" s="142"/>
      <c r="D174" s="584"/>
      <c r="E174" s="142"/>
      <c r="F174" s="585"/>
      <c r="G174" s="138"/>
      <c r="H174" s="586"/>
      <c r="I174" s="15"/>
    </row>
    <row r="175" spans="1:9" ht="12.75" customHeight="1">
      <c r="A175" s="141"/>
      <c r="B175" s="138"/>
      <c r="C175" s="142"/>
      <c r="D175" s="584"/>
      <c r="E175" s="142"/>
      <c r="F175" s="585"/>
      <c r="G175" s="138"/>
      <c r="H175" s="586"/>
      <c r="I175" s="15"/>
    </row>
    <row r="176" spans="1:9" ht="12.75" customHeight="1">
      <c r="A176" s="141"/>
      <c r="B176" s="138"/>
      <c r="C176" s="142"/>
      <c r="D176" s="584"/>
      <c r="E176" s="142"/>
      <c r="F176" s="585"/>
      <c r="G176" s="138"/>
      <c r="H176" s="586"/>
      <c r="I176" s="15"/>
    </row>
    <row r="177" spans="1:9" ht="12.75" customHeight="1">
      <c r="A177" s="141"/>
      <c r="B177" s="138"/>
      <c r="C177" s="142"/>
      <c r="D177" s="584"/>
      <c r="E177" s="142"/>
      <c r="F177" s="585"/>
      <c r="G177" s="138"/>
      <c r="H177" s="586"/>
      <c r="I177" s="15"/>
    </row>
    <row r="178" spans="1:9" ht="12.75" customHeight="1">
      <c r="A178" s="141"/>
      <c r="B178" s="138"/>
      <c r="C178" s="142"/>
      <c r="D178" s="584"/>
      <c r="E178" s="142"/>
      <c r="F178" s="585"/>
      <c r="G178" s="138"/>
      <c r="H178" s="586"/>
      <c r="I178" s="15"/>
    </row>
    <row r="179" spans="1:9" ht="12.75" customHeight="1">
      <c r="A179" s="141"/>
      <c r="B179" s="138"/>
      <c r="C179" s="142"/>
      <c r="D179" s="584"/>
      <c r="E179" s="142"/>
      <c r="F179" s="585"/>
      <c r="G179" s="138"/>
      <c r="H179" s="586"/>
      <c r="I179" s="15"/>
    </row>
    <row r="180" spans="1:9" ht="12.75" customHeight="1">
      <c r="A180" s="141"/>
      <c r="B180" s="138"/>
      <c r="C180" s="142"/>
      <c r="D180" s="584"/>
      <c r="E180" s="142"/>
      <c r="F180" s="585"/>
      <c r="G180" s="138"/>
      <c r="H180" s="586"/>
      <c r="I180" s="15"/>
    </row>
    <row r="181" spans="1:9" ht="12.75" customHeight="1">
      <c r="A181" s="141"/>
      <c r="B181" s="138"/>
      <c r="C181" s="142"/>
      <c r="D181" s="584"/>
      <c r="E181" s="142"/>
      <c r="F181" s="585"/>
      <c r="G181" s="138"/>
      <c r="H181" s="586"/>
      <c r="I181" s="15"/>
    </row>
    <row r="182" spans="1:9" ht="12.75" customHeight="1">
      <c r="A182" s="141"/>
      <c r="B182" s="138"/>
      <c r="C182" s="142"/>
      <c r="D182" s="584"/>
      <c r="E182" s="142"/>
      <c r="F182" s="585"/>
      <c r="G182" s="138"/>
      <c r="H182" s="586"/>
      <c r="I182" s="15"/>
    </row>
    <row r="183" spans="1:9" ht="12.75" customHeight="1">
      <c r="A183" s="141"/>
      <c r="B183" s="138"/>
      <c r="C183" s="142"/>
      <c r="D183" s="584"/>
      <c r="E183" s="142"/>
      <c r="F183" s="585"/>
      <c r="G183" s="138"/>
      <c r="H183" s="586"/>
      <c r="I183" s="15"/>
    </row>
    <row r="184" spans="1:9" ht="12.75" customHeight="1">
      <c r="A184" s="141"/>
      <c r="B184" s="138"/>
      <c r="C184" s="142"/>
      <c r="D184" s="584"/>
      <c r="E184" s="142"/>
      <c r="F184" s="585"/>
      <c r="G184" s="138"/>
      <c r="H184" s="586"/>
      <c r="I184" s="15"/>
    </row>
    <row r="185" spans="1:9" ht="12.75" customHeight="1">
      <c r="A185" s="141"/>
      <c r="B185" s="138"/>
      <c r="C185" s="142"/>
      <c r="D185" s="584"/>
      <c r="E185" s="142"/>
      <c r="F185" s="585"/>
      <c r="G185" s="138"/>
      <c r="H185" s="586"/>
      <c r="I185" s="15"/>
    </row>
    <row r="186" spans="1:9" ht="12.75" customHeight="1">
      <c r="A186" s="141"/>
      <c r="B186" s="138"/>
      <c r="C186" s="142"/>
      <c r="D186" s="584"/>
      <c r="E186" s="142"/>
      <c r="F186" s="585"/>
      <c r="G186" s="138"/>
      <c r="H186" s="586"/>
      <c r="I186" s="15"/>
    </row>
    <row r="187" spans="1:9" ht="12.75" customHeight="1">
      <c r="A187" s="141"/>
      <c r="B187" s="138"/>
      <c r="C187" s="142"/>
      <c r="D187" s="584"/>
      <c r="E187" s="142"/>
      <c r="F187" s="585"/>
      <c r="G187" s="138"/>
      <c r="H187" s="586"/>
      <c r="I187" s="15"/>
    </row>
    <row r="188" spans="1:9" ht="12.75" customHeight="1">
      <c r="A188" s="141"/>
      <c r="B188" s="138"/>
      <c r="C188" s="142"/>
      <c r="D188" s="584"/>
      <c r="E188" s="142"/>
      <c r="F188" s="585"/>
      <c r="G188" s="138"/>
      <c r="H188" s="586"/>
      <c r="I188" s="15"/>
    </row>
    <row r="189" spans="1:9" ht="12.75" customHeight="1">
      <c r="A189" s="141"/>
      <c r="B189" s="138"/>
      <c r="C189" s="142"/>
      <c r="D189" s="584"/>
      <c r="E189" s="142"/>
      <c r="F189" s="585"/>
      <c r="G189" s="138"/>
      <c r="H189" s="586"/>
      <c r="I189" s="15"/>
    </row>
    <row r="190" spans="1:9" ht="12.75" customHeight="1">
      <c r="A190" s="141"/>
      <c r="B190" s="138"/>
      <c r="C190" s="142"/>
      <c r="D190" s="584"/>
      <c r="E190" s="142"/>
      <c r="F190" s="585"/>
      <c r="G190" s="138"/>
      <c r="H190" s="586"/>
      <c r="I190" s="15"/>
    </row>
    <row r="191" spans="1:9" ht="12.75" customHeight="1">
      <c r="A191" s="141"/>
      <c r="B191" s="138"/>
      <c r="C191" s="142"/>
      <c r="D191" s="584"/>
      <c r="E191" s="142"/>
      <c r="F191" s="585"/>
      <c r="G191" s="138"/>
      <c r="H191" s="586"/>
      <c r="I191" s="15"/>
    </row>
    <row r="192" spans="1:9" ht="12.75" customHeight="1">
      <c r="A192" s="141"/>
      <c r="B192" s="138"/>
      <c r="C192" s="142"/>
      <c r="D192" s="584"/>
      <c r="E192" s="142"/>
      <c r="F192" s="585"/>
      <c r="G192" s="138"/>
      <c r="H192" s="586"/>
      <c r="I192" s="15"/>
    </row>
    <row r="193" spans="1:9" ht="12.75" customHeight="1">
      <c r="A193" s="141"/>
      <c r="B193" s="138"/>
      <c r="C193" s="587"/>
      <c r="D193" s="588"/>
      <c r="E193" s="587"/>
      <c r="F193" s="589"/>
      <c r="G193" s="138"/>
      <c r="H193" s="586"/>
      <c r="I193" s="15"/>
    </row>
    <row r="194" spans="1:9" ht="12.75" customHeight="1">
      <c r="A194" s="143"/>
      <c r="B194" s="144"/>
      <c r="C194" s="145"/>
      <c r="D194" s="590"/>
      <c r="E194" s="145"/>
      <c r="F194" s="591"/>
      <c r="G194" s="138"/>
      <c r="H194" s="586"/>
      <c r="I194" s="15"/>
    </row>
    <row r="195" spans="1:9" ht="12.75" customHeight="1">
      <c r="A195" s="146"/>
      <c r="B195" s="144"/>
      <c r="C195" s="145"/>
      <c r="D195" s="590"/>
      <c r="E195" s="145"/>
      <c r="F195" s="591"/>
      <c r="G195" s="138"/>
      <c r="H195" s="586"/>
      <c r="I195" s="15"/>
    </row>
    <row r="196" spans="1:9" ht="12.75" customHeight="1">
      <c r="A196" s="146"/>
      <c r="B196" s="144"/>
      <c r="C196" s="145"/>
      <c r="D196" s="590"/>
      <c r="E196" s="145"/>
      <c r="F196" s="592"/>
      <c r="G196" s="138"/>
      <c r="H196" s="586"/>
      <c r="I196" s="15"/>
    </row>
    <row r="197" spans="1:9" ht="12.75" customHeight="1">
      <c r="A197" s="143"/>
      <c r="B197" s="144"/>
      <c r="C197" s="593"/>
      <c r="D197" s="594"/>
      <c r="E197" s="595"/>
      <c r="F197" s="596"/>
      <c r="G197" s="138"/>
      <c r="H197" s="586"/>
      <c r="I197" s="15"/>
    </row>
    <row r="198" spans="1:9" ht="12.75" customHeight="1">
      <c r="A198" s="143"/>
      <c r="B198" s="144"/>
      <c r="C198" s="147"/>
      <c r="D198" s="597"/>
      <c r="E198" s="147"/>
      <c r="F198" s="598"/>
      <c r="G198" s="138"/>
      <c r="H198" s="586"/>
      <c r="I198" s="15"/>
    </row>
    <row r="199" spans="1:9" ht="12.75" customHeight="1">
      <c r="A199" s="143"/>
      <c r="B199" s="144"/>
      <c r="C199" s="147"/>
      <c r="D199" s="597"/>
      <c r="E199" s="145"/>
      <c r="F199" s="599"/>
      <c r="G199" s="138"/>
      <c r="H199" s="586"/>
      <c r="I199" s="15"/>
    </row>
    <row r="200" spans="1:9" ht="12.75" customHeight="1">
      <c r="A200" s="143"/>
      <c r="B200" s="144"/>
      <c r="C200" s="145"/>
      <c r="D200" s="590"/>
      <c r="E200" s="145"/>
      <c r="F200" s="599"/>
      <c r="G200" s="138"/>
      <c r="H200" s="586"/>
      <c r="I200" s="15"/>
    </row>
    <row r="201" spans="1:9" ht="12.75" customHeight="1">
      <c r="A201" s="143"/>
      <c r="B201" s="144"/>
      <c r="C201" s="145"/>
      <c r="D201" s="590"/>
      <c r="E201" s="145"/>
      <c r="F201" s="599"/>
      <c r="G201" s="138"/>
      <c r="H201" s="586"/>
      <c r="I201" s="15"/>
    </row>
    <row r="202" spans="1:9" ht="12.75" customHeight="1">
      <c r="A202" s="146"/>
      <c r="B202" s="144"/>
      <c r="C202" s="145"/>
      <c r="D202" s="590"/>
      <c r="E202" s="145"/>
      <c r="F202" s="592"/>
      <c r="G202" s="138"/>
      <c r="H202" s="586"/>
      <c r="I202" s="15"/>
    </row>
    <row r="203" spans="1:9" ht="12.75" customHeight="1">
      <c r="A203" s="143"/>
      <c r="B203" s="144"/>
      <c r="C203" s="147"/>
      <c r="D203" s="597"/>
      <c r="E203" s="147"/>
      <c r="F203" s="600"/>
      <c r="G203" s="138"/>
      <c r="H203" s="586"/>
      <c r="I203" s="15"/>
    </row>
    <row r="204" spans="1:9" ht="12.75" customHeight="1">
      <c r="A204" s="143"/>
      <c r="B204" s="144"/>
      <c r="C204" s="145"/>
      <c r="D204" s="590"/>
      <c r="E204" s="145"/>
      <c r="F204" s="592"/>
      <c r="G204" s="138"/>
      <c r="H204" s="586"/>
      <c r="I204" s="15"/>
    </row>
    <row r="205" spans="1:9" ht="12.75" customHeight="1">
      <c r="A205" s="143"/>
      <c r="B205" s="144"/>
      <c r="C205" s="145"/>
      <c r="D205" s="590"/>
      <c r="E205" s="145"/>
      <c r="F205" s="592"/>
      <c r="G205" s="138"/>
      <c r="H205" s="586"/>
      <c r="I205" s="15"/>
    </row>
    <row r="206" spans="1:9" ht="12.75" customHeight="1">
      <c r="A206" s="143"/>
      <c r="B206" s="144"/>
      <c r="C206" s="145"/>
      <c r="D206" s="590"/>
      <c r="E206" s="145"/>
      <c r="F206" s="592"/>
      <c r="G206" s="138"/>
      <c r="H206" s="586"/>
      <c r="I206" s="15"/>
    </row>
    <row r="207" spans="1:9" ht="12.75" customHeight="1">
      <c r="A207" s="146"/>
      <c r="B207" s="144"/>
      <c r="C207" s="145"/>
      <c r="D207" s="590"/>
      <c r="E207" s="145"/>
      <c r="F207" s="591"/>
      <c r="G207" s="138"/>
      <c r="H207" s="586"/>
      <c r="I207" s="15"/>
    </row>
    <row r="208" spans="1:9" ht="12.75" customHeight="1">
      <c r="A208" s="143"/>
      <c r="B208" s="144"/>
      <c r="C208" s="593"/>
      <c r="D208" s="594"/>
      <c r="E208" s="142"/>
      <c r="F208" s="596"/>
      <c r="G208" s="138"/>
      <c r="H208" s="586"/>
      <c r="I208" s="15"/>
    </row>
    <row r="209" spans="1:9" ht="12.75" customHeight="1">
      <c r="A209" s="143"/>
      <c r="B209" s="144"/>
      <c r="C209" s="147"/>
      <c r="D209" s="597"/>
      <c r="E209" s="145"/>
      <c r="F209" s="592"/>
      <c r="G209" s="138"/>
      <c r="H209" s="586"/>
      <c r="I209" s="15"/>
    </row>
    <row r="210" spans="1:9" ht="12.75" customHeight="1">
      <c r="A210" s="143"/>
      <c r="B210" s="144"/>
      <c r="C210" s="145"/>
      <c r="D210" s="590"/>
      <c r="E210" s="145"/>
      <c r="F210" s="592"/>
      <c r="G210" s="138"/>
      <c r="H210" s="586"/>
      <c r="I210" s="15"/>
    </row>
    <row r="211" spans="1:9" ht="12.75" customHeight="1">
      <c r="A211" s="143"/>
      <c r="B211" s="144"/>
      <c r="C211" s="145"/>
      <c r="D211" s="590"/>
      <c r="E211" s="145"/>
      <c r="F211" s="592"/>
      <c r="G211" s="138"/>
      <c r="H211" s="586"/>
      <c r="I211" s="15"/>
    </row>
    <row r="212" spans="1:9" ht="12.75" customHeight="1">
      <c r="A212" s="143"/>
      <c r="B212" s="144"/>
      <c r="C212" s="145"/>
      <c r="D212" s="590"/>
      <c r="E212" s="601"/>
      <c r="F212" s="591"/>
      <c r="G212" s="145"/>
      <c r="H212" s="586"/>
      <c r="I212" s="15"/>
    </row>
    <row r="213" spans="1:10" ht="12.75" customHeight="1">
      <c r="A213" s="602"/>
      <c r="B213" s="603"/>
      <c r="C213" s="604"/>
      <c r="D213" s="605"/>
      <c r="E213" s="604"/>
      <c r="F213" s="606"/>
      <c r="G213" s="607"/>
      <c r="H213" s="608"/>
      <c r="I213" s="15"/>
      <c r="J213" s="552"/>
    </row>
    <row r="214" spans="1:10" ht="12.75" customHeight="1">
      <c r="A214" s="143"/>
      <c r="B214" s="609"/>
      <c r="C214" s="610"/>
      <c r="D214" s="597"/>
      <c r="E214" s="609"/>
      <c r="F214" s="610"/>
      <c r="G214" s="597"/>
      <c r="H214" s="597"/>
      <c r="I214" s="15"/>
      <c r="J214" s="552"/>
    </row>
    <row r="215" spans="1:10" ht="12.75" customHeight="1">
      <c r="A215" s="143"/>
      <c r="B215" s="611"/>
      <c r="C215" s="612"/>
      <c r="D215" s="590"/>
      <c r="E215" s="611"/>
      <c r="F215" s="613"/>
      <c r="G215" s="614"/>
      <c r="H215" s="615"/>
      <c r="I215" s="15"/>
      <c r="J215" s="552"/>
    </row>
    <row r="216" spans="1:9" ht="12.75" customHeight="1">
      <c r="A216" s="143"/>
      <c r="B216" s="611"/>
      <c r="C216" s="612"/>
      <c r="D216" s="590"/>
      <c r="E216" s="611"/>
      <c r="F216" s="613"/>
      <c r="G216" s="614"/>
      <c r="H216" s="615"/>
      <c r="I216" s="15"/>
    </row>
    <row r="217" spans="1:9" ht="12.75" customHeight="1">
      <c r="A217" s="143"/>
      <c r="B217" s="616"/>
      <c r="C217" s="145"/>
      <c r="D217" s="590"/>
      <c r="E217" s="616"/>
      <c r="F217" s="617"/>
      <c r="G217" s="591"/>
      <c r="H217" s="618"/>
      <c r="I217" s="15"/>
    </row>
    <row r="218" spans="1:9" ht="12.75" customHeight="1">
      <c r="A218" s="395"/>
      <c r="B218" s="396"/>
      <c r="C218" s="397"/>
      <c r="D218" s="398"/>
      <c r="E218" s="399"/>
      <c r="F218" s="400"/>
      <c r="G218" s="444"/>
      <c r="H218" s="396"/>
      <c r="I218" s="15"/>
    </row>
    <row r="219" spans="1:9" ht="12.75" customHeight="1">
      <c r="A219" s="395"/>
      <c r="B219" s="396"/>
      <c r="C219" s="397"/>
      <c r="D219" s="398"/>
      <c r="E219" s="399"/>
      <c r="F219" s="400"/>
      <c r="G219" s="444"/>
      <c r="H219" s="396"/>
      <c r="I219" s="15"/>
    </row>
    <row r="220" spans="1:9" ht="12.75" customHeight="1">
      <c r="A220" s="395"/>
      <c r="B220" s="396"/>
      <c r="C220" s="397"/>
      <c r="D220" s="398"/>
      <c r="E220" s="399"/>
      <c r="F220" s="400"/>
      <c r="G220" s="444"/>
      <c r="H220" s="396"/>
      <c r="I220" s="15"/>
    </row>
    <row r="221" spans="1:9" ht="12.75" customHeight="1">
      <c r="A221" s="395"/>
      <c r="B221" s="396"/>
      <c r="C221" s="397"/>
      <c r="D221" s="398"/>
      <c r="E221" s="399"/>
      <c r="F221" s="400"/>
      <c r="G221" s="444"/>
      <c r="H221" s="396"/>
      <c r="I221" s="15"/>
    </row>
    <row r="222" spans="1:9" ht="12.75" customHeight="1">
      <c r="A222" s="395"/>
      <c r="B222" s="396"/>
      <c r="C222" s="397"/>
      <c r="D222" s="398"/>
      <c r="E222" s="399"/>
      <c r="F222" s="400"/>
      <c r="G222" s="444"/>
      <c r="H222" s="396"/>
      <c r="I222" s="15"/>
    </row>
    <row r="223" spans="1:9" ht="12.75" customHeight="1">
      <c r="A223" s="395"/>
      <c r="B223" s="396"/>
      <c r="C223" s="397"/>
      <c r="D223" s="398"/>
      <c r="E223" s="399"/>
      <c r="F223" s="400"/>
      <c r="G223" s="444"/>
      <c r="H223" s="396"/>
      <c r="I223" s="15"/>
    </row>
    <row r="224" spans="1:9" ht="12.75" customHeight="1">
      <c r="A224" s="395"/>
      <c r="B224" s="396"/>
      <c r="C224" s="397"/>
      <c r="D224" s="398"/>
      <c r="E224" s="399"/>
      <c r="F224" s="400"/>
      <c r="G224" s="444"/>
      <c r="H224" s="396"/>
      <c r="I224" s="15"/>
    </row>
    <row r="225" spans="1:9" ht="12.75" customHeight="1">
      <c r="A225" s="395"/>
      <c r="B225" s="396"/>
      <c r="C225" s="397"/>
      <c r="D225" s="398"/>
      <c r="E225" s="399"/>
      <c r="F225" s="400"/>
      <c r="G225" s="444"/>
      <c r="H225" s="396"/>
      <c r="I225" s="15"/>
    </row>
    <row r="226" spans="1:9" ht="12.75" customHeight="1">
      <c r="A226" s="395"/>
      <c r="B226" s="396"/>
      <c r="C226" s="397"/>
      <c r="D226" s="398"/>
      <c r="E226" s="399"/>
      <c r="F226" s="400"/>
      <c r="G226" s="444"/>
      <c r="H226" s="396"/>
      <c r="I226" s="15"/>
    </row>
    <row r="227" spans="1:9" ht="12.75" customHeight="1">
      <c r="A227" s="395"/>
      <c r="B227" s="396"/>
      <c r="C227" s="397"/>
      <c r="D227" s="398"/>
      <c r="E227" s="399"/>
      <c r="F227" s="400"/>
      <c r="G227" s="444"/>
      <c r="H227" s="396"/>
      <c r="I227" s="15"/>
    </row>
    <row r="228" spans="1:9" ht="12.75" customHeight="1">
      <c r="A228" s="395"/>
      <c r="B228" s="396"/>
      <c r="C228" s="397"/>
      <c r="D228" s="398"/>
      <c r="E228" s="399"/>
      <c r="F228" s="400"/>
      <c r="G228" s="444"/>
      <c r="H228" s="396"/>
      <c r="I228" s="15"/>
    </row>
    <row r="229" spans="1:9" ht="12.75" customHeight="1">
      <c r="A229" s="395"/>
      <c r="B229" s="396"/>
      <c r="C229" s="397"/>
      <c r="D229" s="398"/>
      <c r="E229" s="399"/>
      <c r="F229" s="400"/>
      <c r="G229" s="444"/>
      <c r="H229" s="396"/>
      <c r="I229" s="15"/>
    </row>
    <row r="230" spans="1:9" ht="12.75" customHeight="1">
      <c r="A230" s="395"/>
      <c r="B230" s="396"/>
      <c r="C230" s="397"/>
      <c r="D230" s="398"/>
      <c r="E230" s="399"/>
      <c r="F230" s="400"/>
      <c r="G230" s="444"/>
      <c r="H230" s="396"/>
      <c r="I230" s="15"/>
    </row>
    <row r="231" spans="1:9" ht="12.75" customHeight="1">
      <c r="A231" s="395"/>
      <c r="B231" s="396"/>
      <c r="C231" s="397"/>
      <c r="D231" s="398"/>
      <c r="E231" s="399"/>
      <c r="F231" s="400"/>
      <c r="G231" s="444"/>
      <c r="H231" s="396"/>
      <c r="I231" s="15"/>
    </row>
    <row r="232" spans="1:9" ht="12.75" customHeight="1">
      <c r="A232" s="395"/>
      <c r="B232" s="396"/>
      <c r="C232" s="397"/>
      <c r="D232" s="398"/>
      <c r="E232" s="399"/>
      <c r="F232" s="400"/>
      <c r="G232" s="444"/>
      <c r="H232" s="396"/>
      <c r="I232" s="15"/>
    </row>
    <row r="233" spans="1:9" ht="12.75" customHeight="1">
      <c r="A233" s="395"/>
      <c r="B233" s="396"/>
      <c r="C233" s="397"/>
      <c r="D233" s="398"/>
      <c r="E233" s="399"/>
      <c r="F233" s="400"/>
      <c r="G233" s="444"/>
      <c r="H233" s="396"/>
      <c r="I233" s="15"/>
    </row>
    <row r="234" spans="1:9" ht="12.75" customHeight="1">
      <c r="A234" s="395"/>
      <c r="B234" s="396"/>
      <c r="C234" s="397"/>
      <c r="D234" s="398"/>
      <c r="E234" s="399"/>
      <c r="F234" s="400"/>
      <c r="G234" s="444"/>
      <c r="H234" s="396"/>
      <c r="I234" s="15"/>
    </row>
    <row r="235" spans="1:9" ht="12.75" customHeight="1">
      <c r="A235" s="395"/>
      <c r="B235" s="396"/>
      <c r="C235" s="397"/>
      <c r="D235" s="398"/>
      <c r="E235" s="399"/>
      <c r="F235" s="400"/>
      <c r="G235" s="444"/>
      <c r="H235" s="396"/>
      <c r="I235" s="15"/>
    </row>
    <row r="236" spans="1:9" ht="12.75" customHeight="1">
      <c r="A236" s="395"/>
      <c r="B236" s="396"/>
      <c r="C236" s="397"/>
      <c r="D236" s="398"/>
      <c r="E236" s="399"/>
      <c r="F236" s="400"/>
      <c r="G236" s="444"/>
      <c r="H236" s="396"/>
      <c r="I236" s="15"/>
    </row>
    <row r="237" spans="1:9" ht="12.75" customHeight="1">
      <c r="A237" s="395"/>
      <c r="B237" s="396"/>
      <c r="C237" s="397"/>
      <c r="D237" s="398"/>
      <c r="E237" s="399"/>
      <c r="F237" s="400"/>
      <c r="G237" s="444"/>
      <c r="H237" s="396"/>
      <c r="I237" s="15"/>
    </row>
    <row r="238" spans="1:9" ht="12.75" customHeight="1">
      <c r="A238" s="395"/>
      <c r="B238" s="396"/>
      <c r="C238" s="397"/>
      <c r="D238" s="398"/>
      <c r="E238" s="399"/>
      <c r="F238" s="400"/>
      <c r="G238" s="444"/>
      <c r="H238" s="396"/>
      <c r="I238" s="15"/>
    </row>
    <row r="239" spans="1:9" ht="12.75" customHeight="1">
      <c r="A239" s="395"/>
      <c r="B239" s="396"/>
      <c r="C239" s="397"/>
      <c r="D239" s="398"/>
      <c r="E239" s="399"/>
      <c r="F239" s="400"/>
      <c r="G239" s="444"/>
      <c r="H239" s="396"/>
      <c r="I239" s="15"/>
    </row>
    <row r="240" spans="1:9" ht="12.75" customHeight="1">
      <c r="A240" s="395"/>
      <c r="B240" s="396"/>
      <c r="C240" s="397"/>
      <c r="D240" s="398"/>
      <c r="E240" s="399"/>
      <c r="F240" s="400"/>
      <c r="G240" s="444"/>
      <c r="H240" s="396"/>
      <c r="I240" s="15"/>
    </row>
    <row r="241" spans="1:9" ht="12.75" customHeight="1">
      <c r="A241" s="395"/>
      <c r="B241" s="396"/>
      <c r="C241" s="397"/>
      <c r="D241" s="398"/>
      <c r="E241" s="399"/>
      <c r="F241" s="400"/>
      <c r="G241" s="444"/>
      <c r="H241" s="396"/>
      <c r="I241" s="15"/>
    </row>
    <row r="242" spans="1:9" ht="12.75" customHeight="1">
      <c r="A242" s="395"/>
      <c r="B242" s="396"/>
      <c r="C242" s="397"/>
      <c r="D242" s="398"/>
      <c r="E242" s="399"/>
      <c r="F242" s="400"/>
      <c r="G242" s="444"/>
      <c r="H242" s="396"/>
      <c r="I242" s="15"/>
    </row>
    <row r="243" spans="1:9" ht="12.75" customHeight="1">
      <c r="A243" s="395"/>
      <c r="B243" s="396"/>
      <c r="C243" s="397"/>
      <c r="D243" s="398"/>
      <c r="E243" s="399"/>
      <c r="F243" s="400"/>
      <c r="G243" s="444"/>
      <c r="H243" s="396"/>
      <c r="I243" s="15"/>
    </row>
    <row r="244" spans="1:9" ht="12.75" customHeight="1">
      <c r="A244" s="395"/>
      <c r="B244" s="396"/>
      <c r="C244" s="397"/>
      <c r="D244" s="398"/>
      <c r="E244" s="399"/>
      <c r="F244" s="400"/>
      <c r="G244" s="444"/>
      <c r="H244" s="396"/>
      <c r="I244" s="15"/>
    </row>
    <row r="245" spans="1:9" ht="12.75" customHeight="1">
      <c r="A245" s="395"/>
      <c r="B245" s="396"/>
      <c r="C245" s="397"/>
      <c r="D245" s="398"/>
      <c r="E245" s="399"/>
      <c r="F245" s="400"/>
      <c r="G245" s="444"/>
      <c r="H245" s="396"/>
      <c r="I245" s="15"/>
    </row>
    <row r="246" spans="1:9" ht="12.75" customHeight="1">
      <c r="A246" s="395"/>
      <c r="B246" s="396"/>
      <c r="C246" s="397"/>
      <c r="D246" s="398"/>
      <c r="E246" s="399"/>
      <c r="F246" s="400"/>
      <c r="G246" s="444"/>
      <c r="H246" s="396"/>
      <c r="I246" s="15"/>
    </row>
    <row r="247" spans="1:9" ht="12.75" customHeight="1">
      <c r="A247" s="395"/>
      <c r="B247" s="396"/>
      <c r="C247" s="397"/>
      <c r="D247" s="398"/>
      <c r="E247" s="399"/>
      <c r="F247" s="400"/>
      <c r="G247" s="444"/>
      <c r="H247" s="396"/>
      <c r="I247" s="15"/>
    </row>
    <row r="248" spans="1:9" ht="12.75" customHeight="1">
      <c r="A248" s="395"/>
      <c r="B248" s="396"/>
      <c r="C248" s="397"/>
      <c r="D248" s="398"/>
      <c r="E248" s="399"/>
      <c r="F248" s="400"/>
      <c r="G248" s="444"/>
      <c r="H248" s="396"/>
      <c r="I248" s="15"/>
    </row>
    <row r="249" spans="1:9" ht="12.75" customHeight="1">
      <c r="A249" s="395"/>
      <c r="B249" s="396"/>
      <c r="C249" s="397"/>
      <c r="D249" s="398"/>
      <c r="E249" s="399"/>
      <c r="F249" s="400"/>
      <c r="G249" s="444"/>
      <c r="H249" s="396"/>
      <c r="I249" s="15"/>
    </row>
    <row r="250" spans="1:9" ht="12.75" customHeight="1">
      <c r="A250" s="395"/>
      <c r="B250" s="396"/>
      <c r="C250" s="397"/>
      <c r="D250" s="398"/>
      <c r="E250" s="399"/>
      <c r="F250" s="400"/>
      <c r="G250" s="444"/>
      <c r="H250" s="396"/>
      <c r="I250" s="15"/>
    </row>
    <row r="251" spans="1:9" ht="12.75" customHeight="1">
      <c r="A251" s="395"/>
      <c r="B251" s="396"/>
      <c r="C251" s="397"/>
      <c r="D251" s="398"/>
      <c r="E251" s="399"/>
      <c r="F251" s="400"/>
      <c r="G251" s="444"/>
      <c r="H251" s="396"/>
      <c r="I251" s="15"/>
    </row>
    <row r="252" spans="1:9" ht="12.75" customHeight="1">
      <c r="A252" s="395"/>
      <c r="B252" s="396"/>
      <c r="C252" s="397"/>
      <c r="D252" s="398"/>
      <c r="E252" s="399"/>
      <c r="F252" s="400"/>
      <c r="G252" s="444"/>
      <c r="H252" s="396"/>
      <c r="I252" s="15"/>
    </row>
    <row r="253" spans="1:9" ht="12.75" customHeight="1">
      <c r="A253" s="395"/>
      <c r="B253" s="396"/>
      <c r="C253" s="397"/>
      <c r="D253" s="398"/>
      <c r="E253" s="399"/>
      <c r="F253" s="400"/>
      <c r="G253" s="444"/>
      <c r="H253" s="396"/>
      <c r="I253" s="15"/>
    </row>
    <row r="254" spans="1:9" ht="12.75" customHeight="1">
      <c r="A254" s="395"/>
      <c r="B254" s="396"/>
      <c r="C254" s="397"/>
      <c r="D254" s="398"/>
      <c r="E254" s="399"/>
      <c r="F254" s="400"/>
      <c r="G254" s="444"/>
      <c r="H254" s="396"/>
      <c r="I254" s="15"/>
    </row>
    <row r="255" spans="1:9" ht="12.75" customHeight="1">
      <c r="A255" s="395"/>
      <c r="B255" s="396"/>
      <c r="C255" s="397"/>
      <c r="D255" s="398"/>
      <c r="E255" s="399"/>
      <c r="F255" s="400"/>
      <c r="G255" s="444"/>
      <c r="H255" s="396"/>
      <c r="I255" s="15"/>
    </row>
    <row r="256" spans="1:9" ht="12.75" customHeight="1">
      <c r="A256" s="395"/>
      <c r="B256" s="396"/>
      <c r="C256" s="397"/>
      <c r="D256" s="398"/>
      <c r="E256" s="399"/>
      <c r="F256" s="400"/>
      <c r="G256" s="444"/>
      <c r="H256" s="396"/>
      <c r="I256" s="15"/>
    </row>
    <row r="257" spans="1:9" ht="12.75" customHeight="1">
      <c r="A257" s="395"/>
      <c r="B257" s="396"/>
      <c r="C257" s="397"/>
      <c r="D257" s="398"/>
      <c r="E257" s="399"/>
      <c r="F257" s="400"/>
      <c r="G257" s="444"/>
      <c r="H257" s="396"/>
      <c r="I257" s="15"/>
    </row>
    <row r="258" spans="1:9" ht="12.75" customHeight="1">
      <c r="A258" s="395"/>
      <c r="B258" s="396"/>
      <c r="C258" s="397"/>
      <c r="D258" s="398"/>
      <c r="E258" s="397"/>
      <c r="F258" s="400"/>
      <c r="G258" s="444"/>
      <c r="H258" s="396"/>
      <c r="I258" s="15"/>
    </row>
    <row r="259" spans="1:9" ht="12.75" customHeight="1">
      <c r="A259" s="395"/>
      <c r="B259" s="406"/>
      <c r="C259" s="397"/>
      <c r="D259" s="398"/>
      <c r="E259" s="399"/>
      <c r="F259" s="400"/>
      <c r="G259" s="444"/>
      <c r="H259" s="396"/>
      <c r="I259" s="15"/>
    </row>
    <row r="260" spans="1:9" ht="12.75" customHeight="1">
      <c r="A260" s="395"/>
      <c r="B260" s="406"/>
      <c r="C260" s="407"/>
      <c r="D260" s="408"/>
      <c r="E260" s="409"/>
      <c r="F260" s="394"/>
      <c r="G260" s="444"/>
      <c r="H260" s="396"/>
      <c r="I260" s="15"/>
    </row>
    <row r="261" spans="1:9" ht="12.75" customHeight="1">
      <c r="A261" s="395"/>
      <c r="B261" s="406"/>
      <c r="C261" s="407"/>
      <c r="D261" s="408"/>
      <c r="E261" s="409"/>
      <c r="F261" s="394"/>
      <c r="G261" s="444"/>
      <c r="H261" s="396"/>
      <c r="I261" s="15"/>
    </row>
    <row r="262" spans="1:9" ht="12.75" customHeight="1">
      <c r="A262" s="405"/>
      <c r="B262" s="406"/>
      <c r="C262" s="407"/>
      <c r="D262" s="408"/>
      <c r="E262" s="409"/>
      <c r="F262" s="394"/>
      <c r="G262" s="444"/>
      <c r="H262" s="396"/>
      <c r="I262" s="15"/>
    </row>
    <row r="263" spans="1:9" ht="12.75" customHeight="1">
      <c r="A263" s="405"/>
      <c r="B263" s="406"/>
      <c r="C263" s="407"/>
      <c r="D263" s="408"/>
      <c r="E263" s="409"/>
      <c r="F263" s="394"/>
      <c r="G263" s="444"/>
      <c r="H263" s="396"/>
      <c r="I263" s="15"/>
    </row>
    <row r="264" spans="1:9" ht="12.75" customHeight="1">
      <c r="A264" s="395"/>
      <c r="B264" s="396"/>
      <c r="C264" s="397"/>
      <c r="D264" s="398"/>
      <c r="E264" s="399"/>
      <c r="F264" s="400"/>
      <c r="G264" s="444"/>
      <c r="H264" s="396"/>
      <c r="I264" s="15"/>
    </row>
    <row r="265" spans="1:9" ht="12.75" customHeight="1">
      <c r="A265" s="395"/>
      <c r="B265" s="396"/>
      <c r="C265" s="397"/>
      <c r="D265" s="398"/>
      <c r="E265" s="399"/>
      <c r="F265" s="400"/>
      <c r="G265" s="444"/>
      <c r="H265" s="396"/>
      <c r="I265" s="15"/>
    </row>
    <row r="266" spans="1:9" ht="12.75" customHeight="1">
      <c r="A266" s="395"/>
      <c r="B266" s="406"/>
      <c r="C266" s="397"/>
      <c r="D266" s="398"/>
      <c r="E266" s="409"/>
      <c r="F266" s="394"/>
      <c r="G266" s="444"/>
      <c r="H266" s="396"/>
      <c r="I266" s="15"/>
    </row>
    <row r="267" spans="1:9" ht="12.75" customHeight="1">
      <c r="A267" s="395"/>
      <c r="B267" s="406"/>
      <c r="C267" s="407"/>
      <c r="D267" s="408"/>
      <c r="E267" s="409"/>
      <c r="F267" s="394"/>
      <c r="G267" s="444"/>
      <c r="H267" s="396"/>
      <c r="I267" s="15"/>
    </row>
    <row r="268" spans="1:9" ht="12.75" customHeight="1">
      <c r="A268" s="405"/>
      <c r="B268" s="396"/>
      <c r="C268" s="401"/>
      <c r="D268" s="402"/>
      <c r="E268" s="403"/>
      <c r="F268" s="404"/>
      <c r="G268" s="444"/>
      <c r="H268" s="396"/>
      <c r="I268" s="15"/>
    </row>
    <row r="269" spans="1:9" ht="12.75" customHeight="1">
      <c r="A269" s="405"/>
      <c r="B269" s="406"/>
      <c r="C269" s="407"/>
      <c r="D269" s="408"/>
      <c r="E269" s="409"/>
      <c r="F269" s="394"/>
      <c r="G269" s="444"/>
      <c r="H269" s="396"/>
      <c r="I269" s="15"/>
    </row>
    <row r="270" spans="1:9" ht="12.75" customHeight="1">
      <c r="A270" s="395"/>
      <c r="B270" s="406"/>
      <c r="C270" s="397"/>
      <c r="D270" s="398"/>
      <c r="E270" s="399"/>
      <c r="F270" s="400"/>
      <c r="G270" s="444"/>
      <c r="H270" s="399"/>
      <c r="I270" s="15"/>
    </row>
    <row r="271" spans="1:9" ht="12.75" customHeight="1">
      <c r="A271" s="395"/>
      <c r="B271" s="441"/>
      <c r="C271" s="399"/>
      <c r="D271" s="400"/>
      <c r="E271" s="403"/>
      <c r="F271" s="404"/>
      <c r="G271" s="414"/>
      <c r="H271" s="399"/>
      <c r="I271" s="15"/>
    </row>
    <row r="272" spans="1:9" ht="12.75" customHeight="1">
      <c r="A272" s="395"/>
      <c r="B272" s="441"/>
      <c r="C272" s="409"/>
      <c r="D272" s="394"/>
      <c r="E272" s="409"/>
      <c r="F272" s="394"/>
      <c r="G272" s="414"/>
      <c r="H272" s="399"/>
      <c r="I272" s="15"/>
    </row>
    <row r="273" spans="1:9" ht="12.75" customHeight="1">
      <c r="A273" s="405"/>
      <c r="B273" s="441"/>
      <c r="C273" s="409"/>
      <c r="D273" s="394"/>
      <c r="E273" s="451"/>
      <c r="F273" s="425"/>
      <c r="G273" s="396"/>
      <c r="H273" s="414"/>
      <c r="I273" s="15"/>
    </row>
    <row r="274" spans="1:9" ht="12.75" customHeight="1">
      <c r="A274" s="405"/>
      <c r="B274" s="441"/>
      <c r="C274" s="409"/>
      <c r="D274" s="394"/>
      <c r="E274" s="424"/>
      <c r="F274" s="425"/>
      <c r="G274" s="414"/>
      <c r="H274" s="399"/>
      <c r="I274" s="15"/>
    </row>
    <row r="275" spans="1:9" ht="12.75" customHeight="1">
      <c r="A275" s="454"/>
      <c r="B275" s="481"/>
      <c r="C275" s="482"/>
      <c r="D275" s="483"/>
      <c r="E275" s="484"/>
      <c r="F275" s="485"/>
      <c r="G275" s="445"/>
      <c r="H275" s="442"/>
      <c r="I275" s="15"/>
    </row>
    <row r="276" spans="1:9" ht="12.75" customHeight="1">
      <c r="A276" s="454"/>
      <c r="B276" s="443"/>
      <c r="C276" s="482"/>
      <c r="D276" s="483"/>
      <c r="E276" s="452"/>
      <c r="F276" s="453"/>
      <c r="G276" s="446"/>
      <c r="H276" s="447"/>
      <c r="I276" s="15"/>
    </row>
    <row r="277" spans="1:9" ht="12.75" customHeight="1">
      <c r="A277" s="395"/>
      <c r="B277" s="442"/>
      <c r="C277" s="403"/>
      <c r="D277" s="404"/>
      <c r="E277" s="486"/>
      <c r="F277" s="471"/>
      <c r="G277" s="56"/>
      <c r="H277" s="448"/>
      <c r="I277" s="15"/>
    </row>
    <row r="278" spans="1:9" ht="12.75" customHeight="1">
      <c r="A278" s="434"/>
      <c r="B278" s="455"/>
      <c r="C278" s="456"/>
      <c r="D278" s="457"/>
      <c r="E278" s="455"/>
      <c r="F278" s="487"/>
      <c r="G278" s="457"/>
      <c r="H278" s="458"/>
      <c r="I278" s="15"/>
    </row>
    <row r="279" spans="1:9" ht="12.75" customHeight="1">
      <c r="A279" s="434"/>
      <c r="B279" s="462"/>
      <c r="C279" s="492"/>
      <c r="D279" s="460"/>
      <c r="E279" s="493"/>
      <c r="F279" s="461"/>
      <c r="G279" s="449"/>
      <c r="H279" s="450"/>
      <c r="I279" s="15"/>
    </row>
    <row r="280" spans="1:9" ht="12.75" customHeight="1">
      <c r="A280" s="395"/>
      <c r="B280" s="494"/>
      <c r="C280" s="473"/>
      <c r="D280" s="495"/>
      <c r="E280" s="494"/>
      <c r="F280" s="473"/>
      <c r="G280" s="496"/>
      <c r="H280" s="497"/>
      <c r="I280" s="15"/>
    </row>
    <row r="281" spans="1:9" ht="12.75" customHeight="1">
      <c r="A281" s="395"/>
      <c r="B281" s="488"/>
      <c r="C281" s="489"/>
      <c r="D281" s="490"/>
      <c r="E281" s="419"/>
      <c r="F281" s="415"/>
      <c r="G281" s="444"/>
      <c r="H281" s="491"/>
      <c r="I281" s="15"/>
    </row>
    <row r="282" spans="1:9" ht="12.75" customHeight="1">
      <c r="A282" s="395"/>
      <c r="B282" s="406"/>
      <c r="C282" s="463"/>
      <c r="D282" s="408"/>
      <c r="E282" s="409"/>
      <c r="F282" s="424"/>
      <c r="G282" s="459"/>
      <c r="H282" s="472"/>
      <c r="I282" s="15"/>
    </row>
    <row r="283" spans="1:9" ht="12.75" customHeight="1">
      <c r="A283" s="395"/>
      <c r="B283" s="406"/>
      <c r="C283" s="463"/>
      <c r="D283" s="408"/>
      <c r="E283" s="409"/>
      <c r="F283" s="424"/>
      <c r="G283" s="459"/>
      <c r="H283" s="472"/>
      <c r="I283" s="15"/>
    </row>
    <row r="284" spans="1:9" ht="12.75" customHeight="1">
      <c r="A284" s="395"/>
      <c r="B284" s="396"/>
      <c r="C284" s="397"/>
      <c r="D284" s="398"/>
      <c r="E284" s="399"/>
      <c r="F284" s="400"/>
      <c r="G284" s="382"/>
      <c r="H284" s="380"/>
      <c r="I284" s="15"/>
    </row>
    <row r="285" spans="1:9" ht="12.75" customHeight="1">
      <c r="A285" s="395"/>
      <c r="B285" s="396"/>
      <c r="C285" s="397"/>
      <c r="D285" s="398"/>
      <c r="E285" s="399"/>
      <c r="F285" s="400"/>
      <c r="G285" s="382"/>
      <c r="H285" s="380"/>
      <c r="I285" s="15"/>
    </row>
    <row r="286" spans="1:9" ht="12.75" customHeight="1">
      <c r="A286" s="395"/>
      <c r="B286" s="396"/>
      <c r="C286" s="397"/>
      <c r="D286" s="398"/>
      <c r="E286" s="399"/>
      <c r="F286" s="400"/>
      <c r="G286" s="382"/>
      <c r="H286" s="380"/>
      <c r="I286" s="15"/>
    </row>
    <row r="287" spans="1:9" ht="12.75" customHeight="1">
      <c r="A287" s="395"/>
      <c r="B287" s="396"/>
      <c r="C287" s="397"/>
      <c r="D287" s="398"/>
      <c r="E287" s="399"/>
      <c r="F287" s="400"/>
      <c r="G287" s="382"/>
      <c r="H287" s="380"/>
      <c r="I287" s="15"/>
    </row>
    <row r="288" spans="1:9" ht="12.75" customHeight="1">
      <c r="A288" s="395"/>
      <c r="B288" s="396"/>
      <c r="C288" s="397"/>
      <c r="D288" s="398"/>
      <c r="E288" s="399"/>
      <c r="F288" s="400"/>
      <c r="G288" s="382"/>
      <c r="H288" s="380"/>
      <c r="I288" s="15"/>
    </row>
    <row r="289" spans="1:9" ht="12.75" customHeight="1">
      <c r="A289" s="395"/>
      <c r="B289" s="396"/>
      <c r="C289" s="397"/>
      <c r="D289" s="398"/>
      <c r="E289" s="399"/>
      <c r="F289" s="400"/>
      <c r="G289" s="382"/>
      <c r="H289" s="380"/>
      <c r="I289" s="15"/>
    </row>
    <row r="290" spans="1:9" ht="12.75" customHeight="1">
      <c r="A290" s="395"/>
      <c r="B290" s="396"/>
      <c r="C290" s="397"/>
      <c r="D290" s="398"/>
      <c r="E290" s="399"/>
      <c r="F290" s="400"/>
      <c r="G290" s="382"/>
      <c r="H290" s="380"/>
      <c r="I290" s="15"/>
    </row>
    <row r="291" spans="1:9" ht="12.75" customHeight="1">
      <c r="A291" s="395"/>
      <c r="B291" s="396"/>
      <c r="C291" s="397"/>
      <c r="D291" s="398"/>
      <c r="E291" s="399"/>
      <c r="F291" s="400"/>
      <c r="G291" s="382"/>
      <c r="H291" s="380"/>
      <c r="I291" s="15"/>
    </row>
    <row r="292" spans="1:9" ht="12.75" customHeight="1">
      <c r="A292" s="395"/>
      <c r="B292" s="396"/>
      <c r="C292" s="397"/>
      <c r="D292" s="398"/>
      <c r="E292" s="399"/>
      <c r="F292" s="400"/>
      <c r="G292" s="382"/>
      <c r="H292" s="380"/>
      <c r="I292" s="15"/>
    </row>
    <row r="293" spans="1:9" ht="12.75" customHeight="1">
      <c r="A293" s="395"/>
      <c r="B293" s="396"/>
      <c r="C293" s="397"/>
      <c r="D293" s="398"/>
      <c r="E293" s="399"/>
      <c r="F293" s="400"/>
      <c r="G293" s="382"/>
      <c r="H293" s="380"/>
      <c r="I293" s="15"/>
    </row>
    <row r="294" spans="1:9" ht="12.75" customHeight="1">
      <c r="A294" s="395"/>
      <c r="B294" s="396"/>
      <c r="C294" s="397"/>
      <c r="D294" s="398"/>
      <c r="E294" s="399"/>
      <c r="F294" s="400"/>
      <c r="G294" s="382"/>
      <c r="H294" s="380"/>
      <c r="I294" s="15"/>
    </row>
    <row r="295" spans="1:9" ht="12.75" customHeight="1">
      <c r="A295" s="395"/>
      <c r="B295" s="396"/>
      <c r="C295" s="397"/>
      <c r="D295" s="398"/>
      <c r="E295" s="399"/>
      <c r="F295" s="400"/>
      <c r="G295" s="382"/>
      <c r="H295" s="380"/>
      <c r="I295" s="15"/>
    </row>
    <row r="296" spans="1:9" ht="12.75" customHeight="1">
      <c r="A296" s="395"/>
      <c r="B296" s="396"/>
      <c r="C296" s="397"/>
      <c r="D296" s="398"/>
      <c r="E296" s="399"/>
      <c r="F296" s="400"/>
      <c r="G296" s="382"/>
      <c r="H296" s="380"/>
      <c r="I296" s="15"/>
    </row>
    <row r="297" spans="1:9" ht="12.75" customHeight="1">
      <c r="A297" s="395"/>
      <c r="B297" s="396"/>
      <c r="C297" s="397"/>
      <c r="D297" s="398"/>
      <c r="E297" s="399"/>
      <c r="F297" s="400"/>
      <c r="G297" s="382"/>
      <c r="H297" s="380"/>
      <c r="I297" s="15"/>
    </row>
    <row r="298" spans="1:9" ht="12.75" customHeight="1">
      <c r="A298" s="395"/>
      <c r="B298" s="396"/>
      <c r="C298" s="397"/>
      <c r="D298" s="398"/>
      <c r="E298" s="399"/>
      <c r="F298" s="400"/>
      <c r="G298" s="382"/>
      <c r="H298" s="380"/>
      <c r="I298" s="15"/>
    </row>
    <row r="299" spans="1:9" ht="12.75" customHeight="1">
      <c r="A299" s="395"/>
      <c r="B299" s="396"/>
      <c r="C299" s="397"/>
      <c r="D299" s="398"/>
      <c r="E299" s="399"/>
      <c r="F299" s="400"/>
      <c r="G299" s="382"/>
      <c r="H299" s="380"/>
      <c r="I299" s="15"/>
    </row>
    <row r="300" spans="1:9" ht="12.75" customHeight="1">
      <c r="A300" s="395"/>
      <c r="B300" s="396"/>
      <c r="C300" s="397"/>
      <c r="D300" s="398"/>
      <c r="E300" s="399"/>
      <c r="F300" s="400"/>
      <c r="G300" s="382"/>
      <c r="H300" s="380"/>
      <c r="I300" s="15"/>
    </row>
    <row r="301" spans="1:9" ht="12.75" customHeight="1">
      <c r="A301" s="395"/>
      <c r="B301" s="396"/>
      <c r="C301" s="397"/>
      <c r="D301" s="398"/>
      <c r="E301" s="399"/>
      <c r="F301" s="400"/>
      <c r="G301" s="382"/>
      <c r="H301" s="380"/>
      <c r="I301" s="15"/>
    </row>
    <row r="302" spans="1:9" ht="12.75" customHeight="1">
      <c r="A302" s="395"/>
      <c r="B302" s="396"/>
      <c r="C302" s="397"/>
      <c r="D302" s="398"/>
      <c r="E302" s="399"/>
      <c r="F302" s="400"/>
      <c r="G302" s="382"/>
      <c r="H302" s="380"/>
      <c r="I302" s="15"/>
    </row>
    <row r="303" spans="1:9" ht="12.75" customHeight="1">
      <c r="A303" s="395"/>
      <c r="B303" s="396"/>
      <c r="C303" s="397"/>
      <c r="D303" s="398"/>
      <c r="E303" s="399"/>
      <c r="F303" s="400"/>
      <c r="G303" s="382"/>
      <c r="H303" s="380"/>
      <c r="I303" s="15"/>
    </row>
    <row r="304" spans="1:9" ht="12.75" customHeight="1">
      <c r="A304" s="395"/>
      <c r="B304" s="396"/>
      <c r="C304" s="397"/>
      <c r="D304" s="398"/>
      <c r="E304" s="399"/>
      <c r="F304" s="400"/>
      <c r="G304" s="382"/>
      <c r="H304" s="380"/>
      <c r="I304" s="15"/>
    </row>
    <row r="305" spans="1:9" ht="12.75" customHeight="1">
      <c r="A305" s="395"/>
      <c r="B305" s="396"/>
      <c r="C305" s="397"/>
      <c r="D305" s="398"/>
      <c r="E305" s="399"/>
      <c r="F305" s="400"/>
      <c r="G305" s="382"/>
      <c r="H305" s="380"/>
      <c r="I305" s="15"/>
    </row>
    <row r="306" spans="1:9" ht="12.75" customHeight="1">
      <c r="A306" s="395"/>
      <c r="B306" s="396"/>
      <c r="C306" s="397"/>
      <c r="D306" s="398"/>
      <c r="E306" s="399"/>
      <c r="F306" s="400"/>
      <c r="G306" s="382"/>
      <c r="H306" s="380"/>
      <c r="I306" s="15"/>
    </row>
    <row r="307" spans="1:9" ht="12.75" customHeight="1">
      <c r="A307" s="395"/>
      <c r="B307" s="396"/>
      <c r="C307" s="397"/>
      <c r="D307" s="398"/>
      <c r="E307" s="399"/>
      <c r="F307" s="400"/>
      <c r="G307" s="382"/>
      <c r="H307" s="380"/>
      <c r="I307" s="15"/>
    </row>
    <row r="308" spans="1:9" ht="12.75" customHeight="1">
      <c r="A308" s="395"/>
      <c r="B308" s="396"/>
      <c r="C308" s="397"/>
      <c r="D308" s="398"/>
      <c r="E308" s="399"/>
      <c r="F308" s="400"/>
      <c r="G308" s="382"/>
      <c r="H308" s="380"/>
      <c r="I308" s="15"/>
    </row>
    <row r="309" spans="1:9" ht="12.75" customHeight="1">
      <c r="A309" s="395"/>
      <c r="B309" s="396"/>
      <c r="C309" s="397"/>
      <c r="D309" s="398"/>
      <c r="E309" s="399"/>
      <c r="F309" s="400"/>
      <c r="G309" s="382"/>
      <c r="H309" s="380"/>
      <c r="I309" s="15"/>
    </row>
    <row r="310" spans="1:9" ht="12.75" customHeight="1">
      <c r="A310" s="395"/>
      <c r="B310" s="396"/>
      <c r="C310" s="397"/>
      <c r="D310" s="398"/>
      <c r="E310" s="399"/>
      <c r="F310" s="400"/>
      <c r="G310" s="382"/>
      <c r="H310" s="380"/>
      <c r="I310" s="15"/>
    </row>
    <row r="311" spans="1:9" ht="12.75" customHeight="1">
      <c r="A311" s="395"/>
      <c r="B311" s="396"/>
      <c r="C311" s="397"/>
      <c r="D311" s="398"/>
      <c r="E311" s="399"/>
      <c r="F311" s="400"/>
      <c r="G311" s="382"/>
      <c r="H311" s="380"/>
      <c r="I311" s="15"/>
    </row>
    <row r="312" spans="1:9" ht="12.75" customHeight="1">
      <c r="A312" s="395"/>
      <c r="B312" s="396"/>
      <c r="C312" s="397"/>
      <c r="D312" s="398"/>
      <c r="E312" s="399"/>
      <c r="F312" s="400"/>
      <c r="G312" s="382"/>
      <c r="H312" s="380"/>
      <c r="I312" s="15"/>
    </row>
    <row r="313" spans="1:9" ht="12.75" customHeight="1">
      <c r="A313" s="395"/>
      <c r="B313" s="396"/>
      <c r="C313" s="397"/>
      <c r="D313" s="398"/>
      <c r="E313" s="399"/>
      <c r="F313" s="400"/>
      <c r="G313" s="382"/>
      <c r="H313" s="380"/>
      <c r="I313" s="15"/>
    </row>
    <row r="314" spans="1:9" ht="12.75" customHeight="1">
      <c r="A314" s="395"/>
      <c r="B314" s="396"/>
      <c r="C314" s="397"/>
      <c r="D314" s="398"/>
      <c r="E314" s="399"/>
      <c r="F314" s="400"/>
      <c r="G314" s="382"/>
      <c r="H314" s="380"/>
      <c r="I314" s="15"/>
    </row>
    <row r="315" spans="1:9" ht="12.75" customHeight="1">
      <c r="A315" s="395"/>
      <c r="B315" s="396"/>
      <c r="C315" s="397"/>
      <c r="D315" s="398"/>
      <c r="E315" s="399"/>
      <c r="F315" s="400"/>
      <c r="G315" s="382"/>
      <c r="H315" s="380"/>
      <c r="I315" s="15"/>
    </row>
    <row r="316" spans="1:9" ht="12.75" customHeight="1">
      <c r="A316" s="395"/>
      <c r="B316" s="396"/>
      <c r="C316" s="397"/>
      <c r="D316" s="398"/>
      <c r="E316" s="399"/>
      <c r="F316" s="400"/>
      <c r="G316" s="382"/>
      <c r="H316" s="380"/>
      <c r="I316" s="15"/>
    </row>
    <row r="317" spans="1:9" ht="12.75" customHeight="1">
      <c r="A317" s="395"/>
      <c r="B317" s="396"/>
      <c r="C317" s="397"/>
      <c r="D317" s="398"/>
      <c r="E317" s="399"/>
      <c r="F317" s="400"/>
      <c r="G317" s="382"/>
      <c r="H317" s="380"/>
      <c r="I317" s="15"/>
    </row>
    <row r="318" spans="1:9" ht="12.75" customHeight="1">
      <c r="A318" s="395"/>
      <c r="B318" s="396"/>
      <c r="C318" s="397"/>
      <c r="D318" s="398"/>
      <c r="E318" s="399"/>
      <c r="F318" s="400"/>
      <c r="G318" s="382"/>
      <c r="H318" s="380"/>
      <c r="I318" s="15"/>
    </row>
    <row r="319" spans="1:9" ht="12.75" customHeight="1">
      <c r="A319" s="395"/>
      <c r="B319" s="396"/>
      <c r="C319" s="397"/>
      <c r="D319" s="398"/>
      <c r="E319" s="399"/>
      <c r="F319" s="400"/>
      <c r="G319" s="382"/>
      <c r="H319" s="380"/>
      <c r="I319" s="15"/>
    </row>
    <row r="320" spans="1:9" ht="12.75" customHeight="1">
      <c r="A320" s="395"/>
      <c r="B320" s="396"/>
      <c r="C320" s="401"/>
      <c r="D320" s="402"/>
      <c r="E320" s="403"/>
      <c r="F320" s="404"/>
      <c r="G320" s="382"/>
      <c r="H320" s="380"/>
      <c r="I320" s="15"/>
    </row>
    <row r="321" spans="1:9" ht="12.75" customHeight="1">
      <c r="A321" s="395"/>
      <c r="B321" s="396"/>
      <c r="C321" s="401"/>
      <c r="D321" s="402"/>
      <c r="E321" s="401"/>
      <c r="F321" s="404"/>
      <c r="G321" s="382"/>
      <c r="H321" s="380"/>
      <c r="I321" s="15"/>
    </row>
    <row r="322" spans="1:9" ht="12.75" customHeight="1">
      <c r="A322" s="405"/>
      <c r="B322" s="406"/>
      <c r="C322" s="407"/>
      <c r="D322" s="408"/>
      <c r="E322" s="409"/>
      <c r="F322" s="394"/>
      <c r="G322" s="382"/>
      <c r="H322" s="380"/>
      <c r="I322" s="15"/>
    </row>
    <row r="323" spans="1:9" ht="12.75" customHeight="1">
      <c r="A323" s="395"/>
      <c r="B323" s="396"/>
      <c r="C323" s="397"/>
      <c r="D323" s="398"/>
      <c r="E323" s="399"/>
      <c r="F323" s="400"/>
      <c r="G323" s="382"/>
      <c r="H323" s="380"/>
      <c r="I323" s="15"/>
    </row>
    <row r="324" spans="1:9" ht="12.75" customHeight="1">
      <c r="A324" s="395"/>
      <c r="B324" s="396"/>
      <c r="C324" s="397"/>
      <c r="D324" s="398"/>
      <c r="E324" s="399"/>
      <c r="F324" s="400"/>
      <c r="G324" s="382"/>
      <c r="H324" s="380"/>
      <c r="I324" s="15"/>
    </row>
    <row r="325" spans="1:9" ht="12.75" customHeight="1">
      <c r="A325" s="395"/>
      <c r="B325" s="396"/>
      <c r="C325" s="397"/>
      <c r="D325" s="398"/>
      <c r="E325" s="403"/>
      <c r="F325" s="404"/>
      <c r="G325" s="382"/>
      <c r="H325" s="380"/>
      <c r="I325" s="15"/>
    </row>
    <row r="326" spans="1:9" ht="12.75" customHeight="1">
      <c r="A326" s="395"/>
      <c r="B326" s="396"/>
      <c r="C326" s="401"/>
      <c r="D326" s="402"/>
      <c r="E326" s="403"/>
      <c r="F326" s="404"/>
      <c r="G326" s="382"/>
      <c r="H326" s="380"/>
      <c r="I326" s="15"/>
    </row>
    <row r="327" spans="1:9" ht="12.75" customHeight="1">
      <c r="A327" s="395"/>
      <c r="B327" s="396"/>
      <c r="C327" s="401"/>
      <c r="D327" s="402"/>
      <c r="E327" s="403"/>
      <c r="F327" s="404"/>
      <c r="G327" s="382"/>
      <c r="H327" s="380"/>
      <c r="I327" s="15"/>
    </row>
    <row r="328" spans="1:9" ht="12.75" customHeight="1">
      <c r="A328" s="395"/>
      <c r="B328" s="396"/>
      <c r="C328" s="407"/>
      <c r="D328" s="408"/>
      <c r="E328" s="409"/>
      <c r="F328" s="394"/>
      <c r="G328" s="382"/>
      <c r="H328" s="380"/>
      <c r="I328" s="15"/>
    </row>
    <row r="329" spans="1:9" ht="12.75" customHeight="1">
      <c r="A329" s="395"/>
      <c r="B329" s="396"/>
      <c r="C329" s="397"/>
      <c r="D329" s="398"/>
      <c r="E329" s="399"/>
      <c r="F329" s="400"/>
      <c r="G329" s="382"/>
      <c r="H329" s="380"/>
      <c r="I329" s="15"/>
    </row>
    <row r="330" spans="1:9" ht="12.75" customHeight="1">
      <c r="A330" s="395"/>
      <c r="B330" s="396"/>
      <c r="C330" s="397"/>
      <c r="D330" s="398"/>
      <c r="E330" s="403"/>
      <c r="F330" s="404"/>
      <c r="G330" s="382"/>
      <c r="H330" s="380"/>
      <c r="I330" s="15"/>
    </row>
    <row r="331" spans="1:9" ht="12.75" customHeight="1">
      <c r="A331" s="395"/>
      <c r="B331" s="396"/>
      <c r="C331" s="401"/>
      <c r="D331" s="402"/>
      <c r="E331" s="403"/>
      <c r="F331" s="404"/>
      <c r="G331" s="382"/>
      <c r="H331" s="380"/>
      <c r="I331" s="15"/>
    </row>
    <row r="332" spans="1:9" ht="12.75" customHeight="1">
      <c r="A332" s="395"/>
      <c r="B332" s="396"/>
      <c r="C332" s="401"/>
      <c r="D332" s="402"/>
      <c r="E332" s="410"/>
      <c r="F332" s="411"/>
      <c r="G332" s="382"/>
      <c r="H332" s="380"/>
      <c r="I332" s="15"/>
    </row>
    <row r="333" spans="1:9" ht="12.75" customHeight="1">
      <c r="A333" s="405"/>
      <c r="B333" s="406"/>
      <c r="C333" s="407"/>
      <c r="D333" s="408"/>
      <c r="E333" s="409"/>
      <c r="F333" s="394"/>
      <c r="G333" s="412"/>
      <c r="H333" s="413"/>
      <c r="I333" s="15"/>
    </row>
    <row r="334" spans="1:9" ht="12.75" customHeight="1">
      <c r="A334" s="395"/>
      <c r="B334" s="414"/>
      <c r="C334" s="399"/>
      <c r="D334" s="400"/>
      <c r="E334" s="415"/>
      <c r="F334" s="416"/>
      <c r="G334" s="417"/>
      <c r="H334" s="413"/>
      <c r="I334" s="15"/>
    </row>
    <row r="335" spans="1:9" ht="12.75" customHeight="1">
      <c r="A335" s="395"/>
      <c r="B335" s="414"/>
      <c r="C335" s="399"/>
      <c r="D335" s="400"/>
      <c r="E335" s="410"/>
      <c r="F335" s="411"/>
      <c r="G335" s="417"/>
      <c r="H335" s="413"/>
      <c r="I335" s="15"/>
    </row>
    <row r="336" spans="1:9" ht="12.75" customHeight="1">
      <c r="A336" s="395"/>
      <c r="B336" s="414"/>
      <c r="C336" s="403"/>
      <c r="D336" s="404"/>
      <c r="E336" s="418"/>
      <c r="F336" s="404"/>
      <c r="G336" s="41"/>
      <c r="H336" s="414"/>
      <c r="I336" s="15"/>
    </row>
    <row r="337" spans="1:9" ht="12.75" customHeight="1">
      <c r="A337" s="395"/>
      <c r="B337" s="414"/>
      <c r="C337" s="403"/>
      <c r="D337" s="404"/>
      <c r="E337" s="410"/>
      <c r="F337" s="404"/>
      <c r="G337" s="417"/>
      <c r="H337" s="413"/>
      <c r="I337" s="15"/>
    </row>
    <row r="338" spans="1:9" ht="12.75" customHeight="1">
      <c r="A338" s="395"/>
      <c r="B338" s="419"/>
      <c r="C338" s="410"/>
      <c r="D338" s="416"/>
      <c r="E338" s="420"/>
      <c r="F338" s="415"/>
      <c r="G338" s="421"/>
      <c r="H338" s="422"/>
      <c r="I338" s="15"/>
    </row>
    <row r="339" spans="1:9" ht="12.75" customHeight="1">
      <c r="A339" s="405"/>
      <c r="B339" s="423"/>
      <c r="C339" s="424"/>
      <c r="D339" s="425"/>
      <c r="E339" s="423"/>
      <c r="F339" s="424"/>
      <c r="G339" s="426"/>
      <c r="H339" s="427"/>
      <c r="I339" s="15"/>
    </row>
    <row r="340" spans="1:9" ht="12.75" customHeight="1">
      <c r="A340" s="389"/>
      <c r="B340" s="428"/>
      <c r="C340" s="429"/>
      <c r="D340" s="416"/>
      <c r="E340" s="430"/>
      <c r="F340" s="431"/>
      <c r="G340" s="432"/>
      <c r="H340" s="433"/>
      <c r="I340" s="434"/>
    </row>
    <row r="341" spans="1:9" ht="12.75" customHeight="1">
      <c r="A341" s="435"/>
      <c r="B341" s="436"/>
      <c r="C341" s="437"/>
      <c r="D341" s="438"/>
      <c r="E341" s="437"/>
      <c r="F341" s="438"/>
      <c r="G341" s="438"/>
      <c r="H341" s="439"/>
      <c r="I341" s="440"/>
    </row>
    <row r="342" spans="1:9" ht="12.75" customHeight="1">
      <c r="A342" s="435"/>
      <c r="B342" s="436"/>
      <c r="C342" s="437"/>
      <c r="D342" s="438"/>
      <c r="E342" s="437"/>
      <c r="F342" s="438"/>
      <c r="G342" s="438"/>
      <c r="H342" s="439"/>
      <c r="I342" s="440"/>
    </row>
    <row r="343" ht="12.75" customHeight="1">
      <c r="I343" s="377"/>
    </row>
    <row r="344" ht="12.75" customHeight="1">
      <c r="I344" s="377"/>
    </row>
  </sheetData>
  <sheetProtection/>
  <mergeCells count="1">
    <mergeCell ref="C7:D7"/>
  </mergeCells>
  <printOptions/>
  <pageMargins left="0.67" right="0.2" top="0.25" bottom="0.25" header="0.34" footer="0.3"/>
  <pageSetup horizontalDpi="600" verticalDpi="600" orientation="portrait" paperSize="5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6.7109375" style="4" customWidth="1"/>
    <col min="2" max="2" width="7.57421875" style="4" customWidth="1"/>
    <col min="3" max="3" width="12.57421875" style="6" customWidth="1"/>
    <col min="4" max="4" width="12.7109375" style="5" customWidth="1"/>
    <col min="5" max="5" width="15.00390625" style="6" customWidth="1"/>
    <col min="6" max="6" width="14.421875" style="5" customWidth="1"/>
    <col min="7" max="7" width="9.8515625" style="5" customWidth="1"/>
    <col min="8" max="8" width="9.57421875" style="5" customWidth="1"/>
    <col min="9" max="9" width="9.28125" style="3" customWidth="1"/>
    <col min="10" max="10" width="21.28125" style="378" bestFit="1" customWidth="1"/>
    <col min="11" max="16384" width="9.140625" style="378" customWidth="1"/>
  </cols>
  <sheetData>
    <row r="1" spans="1:9" ht="12.75" customHeight="1">
      <c r="A1" s="380"/>
      <c r="B1" s="380"/>
      <c r="C1" s="381" t="s">
        <v>3</v>
      </c>
      <c r="D1" s="382"/>
      <c r="E1" s="383"/>
      <c r="F1" s="384"/>
      <c r="G1" s="382"/>
      <c r="H1" s="380"/>
      <c r="I1" s="15"/>
    </row>
    <row r="2" spans="1:9" ht="12.75" customHeight="1">
      <c r="A2" s="380"/>
      <c r="B2" s="380"/>
      <c r="C2" s="381" t="s">
        <v>4</v>
      </c>
      <c r="D2" s="385"/>
      <c r="E2" s="381"/>
      <c r="F2" s="384"/>
      <c r="G2" s="382"/>
      <c r="H2" s="380"/>
      <c r="I2" s="15"/>
    </row>
    <row r="3" spans="1:9" ht="12.75" customHeight="1">
      <c r="A3" s="380"/>
      <c r="B3" s="380"/>
      <c r="C3" s="381" t="s">
        <v>33</v>
      </c>
      <c r="D3" s="385"/>
      <c r="E3" s="381"/>
      <c r="F3" s="384"/>
      <c r="G3" s="382"/>
      <c r="H3" s="380"/>
      <c r="I3" s="15"/>
    </row>
    <row r="4" spans="1:9" ht="12.75" customHeight="1">
      <c r="A4" s="386"/>
      <c r="B4" s="380"/>
      <c r="C4" s="381" t="s">
        <v>31</v>
      </c>
      <c r="D4" s="385"/>
      <c r="E4" s="381"/>
      <c r="F4" s="384"/>
      <c r="G4" s="387"/>
      <c r="H4" s="380"/>
      <c r="I4" s="15"/>
    </row>
    <row r="5" spans="1:9" ht="12.75" customHeight="1">
      <c r="A5" s="380"/>
      <c r="B5" s="386"/>
      <c r="C5" s="388"/>
      <c r="D5" s="387"/>
      <c r="E5" s="383" t="s">
        <v>1487</v>
      </c>
      <c r="F5" s="384"/>
      <c r="G5" s="387"/>
      <c r="H5" s="380"/>
      <c r="I5" s="15"/>
    </row>
    <row r="6" spans="1:9" ht="12.75" customHeight="1">
      <c r="A6" s="389" t="s">
        <v>39</v>
      </c>
      <c r="B6" s="386"/>
      <c r="C6" s="388"/>
      <c r="D6" s="387"/>
      <c r="E6" s="388"/>
      <c r="F6" s="384"/>
      <c r="G6" s="387"/>
      <c r="H6" s="380"/>
      <c r="I6" s="15"/>
    </row>
    <row r="7" spans="1:9" ht="12.75" customHeight="1">
      <c r="A7" s="390" t="s">
        <v>312</v>
      </c>
      <c r="B7" s="390"/>
      <c r="C7" s="856" t="s">
        <v>1488</v>
      </c>
      <c r="D7" s="856"/>
      <c r="E7" s="553" t="s">
        <v>1489</v>
      </c>
      <c r="F7" s="384"/>
      <c r="G7" s="382"/>
      <c r="H7" s="380"/>
      <c r="I7" s="15"/>
    </row>
    <row r="8" spans="1:9" ht="12.75" customHeight="1">
      <c r="A8" s="392" t="s">
        <v>243</v>
      </c>
      <c r="B8" s="380"/>
      <c r="C8" s="393" t="s">
        <v>0</v>
      </c>
      <c r="D8" s="394" t="s">
        <v>1</v>
      </c>
      <c r="E8" s="393" t="s">
        <v>0</v>
      </c>
      <c r="F8" s="394" t="s">
        <v>1</v>
      </c>
      <c r="G8" s="382"/>
      <c r="H8" s="380"/>
      <c r="I8" s="15"/>
    </row>
    <row r="9" spans="1:9" ht="12.75" customHeight="1">
      <c r="A9" s="389" t="s">
        <v>1348</v>
      </c>
      <c r="B9" s="380"/>
      <c r="C9" s="413">
        <v>0</v>
      </c>
      <c r="D9" s="400">
        <v>0</v>
      </c>
      <c r="E9" s="413">
        <v>2991.7</v>
      </c>
      <c r="F9" s="400">
        <v>77.01403884079286</v>
      </c>
      <c r="G9" s="382"/>
      <c r="H9" s="380"/>
      <c r="I9" s="15"/>
    </row>
    <row r="10" spans="1:9" ht="12.75" customHeight="1">
      <c r="A10" s="389" t="s">
        <v>1207</v>
      </c>
      <c r="B10" s="380"/>
      <c r="C10" s="413">
        <v>0</v>
      </c>
      <c r="D10" s="400">
        <v>0</v>
      </c>
      <c r="E10" s="413">
        <v>30436.8</v>
      </c>
      <c r="F10" s="400">
        <v>104.30713806970509</v>
      </c>
      <c r="G10" s="382"/>
      <c r="H10" s="380"/>
      <c r="I10" s="15"/>
    </row>
    <row r="11" spans="1:9" ht="12.75" customHeight="1">
      <c r="A11" s="389" t="s">
        <v>277</v>
      </c>
      <c r="B11" s="380"/>
      <c r="C11" s="413">
        <v>0</v>
      </c>
      <c r="D11" s="400">
        <v>0</v>
      </c>
      <c r="E11" s="413">
        <v>85350.19999999998</v>
      </c>
      <c r="F11" s="400">
        <v>122.455201042294</v>
      </c>
      <c r="G11" s="382"/>
      <c r="H11" s="380"/>
      <c r="I11" s="15"/>
    </row>
    <row r="12" spans="1:9" ht="12.75" customHeight="1">
      <c r="A12" s="389" t="s">
        <v>279</v>
      </c>
      <c r="B12" s="380"/>
      <c r="C12" s="413">
        <v>0</v>
      </c>
      <c r="D12" s="400">
        <v>0</v>
      </c>
      <c r="E12" s="413">
        <v>2991</v>
      </c>
      <c r="F12" s="400">
        <v>240.16666666666666</v>
      </c>
      <c r="G12" s="382"/>
      <c r="H12" s="380"/>
      <c r="I12" s="15"/>
    </row>
    <row r="13" spans="1:9" ht="12.75" customHeight="1">
      <c r="A13" s="389" t="s">
        <v>278</v>
      </c>
      <c r="B13" s="380"/>
      <c r="C13" s="413">
        <v>0</v>
      </c>
      <c r="D13" s="400">
        <v>0</v>
      </c>
      <c r="E13" s="413">
        <v>134757.3</v>
      </c>
      <c r="F13" s="400">
        <v>183.47963635365215</v>
      </c>
      <c r="G13" s="382"/>
      <c r="H13" s="380"/>
      <c r="I13" s="15"/>
    </row>
    <row r="14" spans="1:9" ht="12.75" customHeight="1">
      <c r="A14" s="389" t="s">
        <v>1208</v>
      </c>
      <c r="B14" s="380"/>
      <c r="C14" s="413">
        <v>0</v>
      </c>
      <c r="D14" s="400">
        <v>0</v>
      </c>
      <c r="E14" s="413">
        <v>51841.7</v>
      </c>
      <c r="F14" s="400">
        <v>182.62285573196868</v>
      </c>
      <c r="G14" s="382"/>
      <c r="H14" s="380"/>
      <c r="I14" s="15"/>
    </row>
    <row r="15" spans="1:9" ht="12.75" customHeight="1">
      <c r="A15" s="389" t="s">
        <v>280</v>
      </c>
      <c r="B15" s="380"/>
      <c r="C15" s="413">
        <v>6981.8</v>
      </c>
      <c r="D15" s="400">
        <v>96.07751582686413</v>
      </c>
      <c r="E15" s="413">
        <v>337959.4000000001</v>
      </c>
      <c r="F15" s="400">
        <v>153.1416016243371</v>
      </c>
      <c r="G15" s="382"/>
      <c r="H15" s="380"/>
      <c r="I15" s="15"/>
    </row>
    <row r="16" spans="1:9" ht="12.75" customHeight="1">
      <c r="A16" s="389" t="s">
        <v>281</v>
      </c>
      <c r="B16" s="380"/>
      <c r="C16" s="413">
        <v>0</v>
      </c>
      <c r="D16" s="400">
        <v>0</v>
      </c>
      <c r="E16" s="413">
        <v>108539.89999999998</v>
      </c>
      <c r="F16" s="400">
        <v>112.63542439232027</v>
      </c>
      <c r="G16" s="382"/>
      <c r="H16" s="380"/>
      <c r="I16" s="15"/>
    </row>
    <row r="17" spans="1:9" ht="12.75" customHeight="1">
      <c r="A17" s="389" t="s">
        <v>1209</v>
      </c>
      <c r="B17" s="380"/>
      <c r="C17" s="413">
        <v>0</v>
      </c>
      <c r="D17" s="400">
        <v>0</v>
      </c>
      <c r="E17" s="413">
        <v>4234.9</v>
      </c>
      <c r="F17" s="400">
        <v>88.83397482821319</v>
      </c>
      <c r="G17" s="382"/>
      <c r="H17" s="380"/>
      <c r="I17" s="15"/>
    </row>
    <row r="18" spans="1:9" ht="12.75" customHeight="1">
      <c r="A18" s="389" t="s">
        <v>1210</v>
      </c>
      <c r="B18" s="380"/>
      <c r="C18" s="413">
        <v>0</v>
      </c>
      <c r="D18" s="400">
        <v>0</v>
      </c>
      <c r="E18" s="413">
        <v>11966.1</v>
      </c>
      <c r="F18" s="400">
        <v>100</v>
      </c>
      <c r="G18" s="382"/>
      <c r="H18" s="380"/>
      <c r="I18" s="15"/>
    </row>
    <row r="19" spans="1:9" ht="12.75" customHeight="1">
      <c r="A19" s="389" t="s">
        <v>1211</v>
      </c>
      <c r="B19" s="380"/>
      <c r="C19" s="413">
        <v>0</v>
      </c>
      <c r="D19" s="400">
        <v>0</v>
      </c>
      <c r="E19" s="413">
        <v>27955.200000000004</v>
      </c>
      <c r="F19" s="400">
        <v>196.7867087339743</v>
      </c>
      <c r="G19" s="382"/>
      <c r="H19" s="380"/>
      <c r="I19" s="15"/>
    </row>
    <row r="20" spans="1:9" ht="12.75" customHeight="1">
      <c r="A20" s="389" t="s">
        <v>1212</v>
      </c>
      <c r="B20" s="380"/>
      <c r="C20" s="413">
        <v>0</v>
      </c>
      <c r="D20" s="400">
        <v>0</v>
      </c>
      <c r="E20" s="413">
        <v>43363.09999999999</v>
      </c>
      <c r="F20" s="400">
        <v>159.83473967497716</v>
      </c>
      <c r="G20" s="382"/>
      <c r="H20" s="380"/>
      <c r="I20" s="15"/>
    </row>
    <row r="21" spans="1:9" ht="12.75" customHeight="1">
      <c r="A21" s="389" t="s">
        <v>282</v>
      </c>
      <c r="B21" s="380"/>
      <c r="C21" s="413">
        <v>2492.5</v>
      </c>
      <c r="D21" s="400">
        <v>141.8</v>
      </c>
      <c r="E21" s="413">
        <v>92957.09999999998</v>
      </c>
      <c r="F21" s="400">
        <v>169.57778157881435</v>
      </c>
      <c r="G21" s="382"/>
      <c r="H21" s="380"/>
      <c r="I21" s="15"/>
    </row>
    <row r="22" spans="1:9" ht="12.75" customHeight="1">
      <c r="A22" s="389" t="s">
        <v>283</v>
      </c>
      <c r="B22" s="380"/>
      <c r="C22" s="413">
        <v>2987.1</v>
      </c>
      <c r="D22" s="400">
        <v>199.82909845669712</v>
      </c>
      <c r="E22" s="413">
        <v>573652.3000000002</v>
      </c>
      <c r="F22" s="400">
        <v>257.4659625700097</v>
      </c>
      <c r="G22" s="382"/>
      <c r="H22" s="380"/>
      <c r="I22" s="15"/>
    </row>
    <row r="23" spans="1:9" ht="12.75" customHeight="1">
      <c r="A23" s="389" t="s">
        <v>284</v>
      </c>
      <c r="B23" s="380"/>
      <c r="C23" s="413">
        <v>0</v>
      </c>
      <c r="D23" s="400">
        <v>0</v>
      </c>
      <c r="E23" s="413">
        <v>37338.2</v>
      </c>
      <c r="F23" s="400">
        <v>109.71266424198275</v>
      </c>
      <c r="G23" s="382"/>
      <c r="H23" s="380"/>
      <c r="I23" s="15"/>
    </row>
    <row r="24" spans="1:9" ht="12.75" customHeight="1">
      <c r="A24" s="389" t="s">
        <v>285</v>
      </c>
      <c r="B24" s="380"/>
      <c r="C24" s="413">
        <v>0</v>
      </c>
      <c r="D24" s="400">
        <v>0</v>
      </c>
      <c r="E24" s="413">
        <v>113112.19999999998</v>
      </c>
      <c r="F24" s="400">
        <v>164.7287799194075</v>
      </c>
      <c r="G24" s="382"/>
      <c r="H24" s="380"/>
      <c r="I24" s="15"/>
    </row>
    <row r="25" spans="1:9" ht="12.75" customHeight="1">
      <c r="A25" s="389" t="s">
        <v>1213</v>
      </c>
      <c r="B25" s="380"/>
      <c r="C25" s="413">
        <v>0</v>
      </c>
      <c r="D25" s="400">
        <v>0</v>
      </c>
      <c r="E25" s="413">
        <v>23422</v>
      </c>
      <c r="F25" s="400">
        <v>133.88325932883612</v>
      </c>
      <c r="G25" s="382"/>
      <c r="H25" s="380"/>
      <c r="I25" s="15"/>
    </row>
    <row r="26" spans="1:9" ht="12.75" customHeight="1">
      <c r="A26" s="389" t="s">
        <v>286</v>
      </c>
      <c r="B26" s="380"/>
      <c r="C26" s="413">
        <v>0</v>
      </c>
      <c r="D26" s="400">
        <v>0</v>
      </c>
      <c r="E26" s="413">
        <v>258392.7</v>
      </c>
      <c r="F26" s="400">
        <v>207.3793830088853</v>
      </c>
      <c r="G26" s="382"/>
      <c r="H26" s="380"/>
      <c r="I26" s="15"/>
    </row>
    <row r="27" spans="1:9" ht="12.75" customHeight="1">
      <c r="A27" s="389" t="s">
        <v>1214</v>
      </c>
      <c r="B27" s="380"/>
      <c r="C27" s="413">
        <v>0</v>
      </c>
      <c r="D27" s="400">
        <v>0</v>
      </c>
      <c r="E27" s="413">
        <v>12462.5</v>
      </c>
      <c r="F27" s="400">
        <v>193.64</v>
      </c>
      <c r="G27" s="382"/>
      <c r="H27" s="380"/>
      <c r="I27" s="15"/>
    </row>
    <row r="28" spans="1:9" ht="12.75" customHeight="1">
      <c r="A28" s="389" t="s">
        <v>287</v>
      </c>
      <c r="B28" s="380"/>
      <c r="C28" s="413">
        <v>0</v>
      </c>
      <c r="D28" s="400">
        <v>0</v>
      </c>
      <c r="E28" s="413">
        <v>185537.8</v>
      </c>
      <c r="F28" s="400">
        <v>170.1054782367798</v>
      </c>
      <c r="G28" s="382"/>
      <c r="H28" s="380"/>
      <c r="I28" s="15"/>
    </row>
    <row r="29" spans="1:9" ht="12.75" customHeight="1">
      <c r="A29" s="389" t="s">
        <v>288</v>
      </c>
      <c r="B29" s="380"/>
      <c r="C29" s="413">
        <v>11980</v>
      </c>
      <c r="D29" s="400">
        <v>99.95831385642738</v>
      </c>
      <c r="E29" s="413">
        <v>492059.6</v>
      </c>
      <c r="F29" s="400">
        <v>170.61221384563981</v>
      </c>
      <c r="G29" s="382"/>
      <c r="H29" s="380"/>
      <c r="I29" s="15"/>
    </row>
    <row r="30" spans="1:9" ht="12.75" customHeight="1">
      <c r="A30" s="389" t="s">
        <v>1215</v>
      </c>
      <c r="B30" s="380"/>
      <c r="C30" s="413">
        <v>0</v>
      </c>
      <c r="D30" s="400">
        <v>0</v>
      </c>
      <c r="E30" s="413">
        <v>12483.4</v>
      </c>
      <c r="F30" s="400">
        <v>128.42010990595512</v>
      </c>
      <c r="G30" s="382"/>
      <c r="H30" s="380"/>
      <c r="I30" s="15"/>
    </row>
    <row r="31" spans="1:9" ht="12.75" customHeight="1">
      <c r="A31" s="389" t="s">
        <v>289</v>
      </c>
      <c r="B31" s="380"/>
      <c r="C31" s="413">
        <v>49423.1</v>
      </c>
      <c r="D31" s="400">
        <v>196.939629444531</v>
      </c>
      <c r="E31" s="413">
        <v>516761.29999999993</v>
      </c>
      <c r="F31" s="400">
        <v>210.2894787206395</v>
      </c>
      <c r="G31" s="382"/>
      <c r="H31" s="380"/>
      <c r="I31" s="15"/>
    </row>
    <row r="32" spans="1:9" ht="12.75" customHeight="1">
      <c r="A32" s="389" t="s">
        <v>290</v>
      </c>
      <c r="B32" s="380"/>
      <c r="C32" s="413">
        <v>0</v>
      </c>
      <c r="D32" s="400">
        <v>0</v>
      </c>
      <c r="E32" s="413">
        <v>61736.49999999999</v>
      </c>
      <c r="F32" s="400">
        <v>99.87985065560893</v>
      </c>
      <c r="G32" s="382"/>
      <c r="H32" s="380"/>
      <c r="I32" s="15"/>
    </row>
    <row r="33" spans="1:9" ht="12.75" customHeight="1">
      <c r="A33" s="389" t="s">
        <v>291</v>
      </c>
      <c r="B33" s="380"/>
      <c r="C33" s="413">
        <v>1495.2</v>
      </c>
      <c r="D33" s="400">
        <v>105.00200642054574</v>
      </c>
      <c r="E33" s="413">
        <v>249045.50000000003</v>
      </c>
      <c r="F33" s="400">
        <v>131.72252580351784</v>
      </c>
      <c r="G33" s="382"/>
      <c r="H33" s="380"/>
      <c r="I33" s="15"/>
    </row>
    <row r="34" spans="1:9" ht="12.75" customHeight="1">
      <c r="A34" s="389" t="s">
        <v>292</v>
      </c>
      <c r="B34" s="380"/>
      <c r="C34" s="413">
        <v>0</v>
      </c>
      <c r="D34" s="400">
        <v>0</v>
      </c>
      <c r="E34" s="413">
        <v>144553.29999999996</v>
      </c>
      <c r="F34" s="400">
        <v>197.84766380290185</v>
      </c>
      <c r="G34" s="382"/>
      <c r="H34" s="380"/>
      <c r="I34" s="15"/>
    </row>
    <row r="35" spans="1:9" ht="12.75" customHeight="1">
      <c r="A35" s="389" t="s">
        <v>294</v>
      </c>
      <c r="B35" s="380"/>
      <c r="C35" s="413">
        <v>0</v>
      </c>
      <c r="D35" s="400">
        <v>0</v>
      </c>
      <c r="E35" s="413">
        <v>21114.2</v>
      </c>
      <c r="F35" s="400">
        <v>88.11183942559983</v>
      </c>
      <c r="G35" s="382"/>
      <c r="H35" s="380"/>
      <c r="I35" s="15"/>
    </row>
    <row r="36" spans="1:9" ht="12.75" customHeight="1">
      <c r="A36" s="389" t="s">
        <v>295</v>
      </c>
      <c r="B36" s="380"/>
      <c r="C36" s="413">
        <v>4988</v>
      </c>
      <c r="D36" s="400">
        <v>71.70018043303929</v>
      </c>
      <c r="E36" s="413">
        <v>166636.8</v>
      </c>
      <c r="F36" s="400">
        <v>105.53631250720129</v>
      </c>
      <c r="G36" s="382"/>
      <c r="H36" s="380"/>
      <c r="I36" s="15"/>
    </row>
    <row r="37" spans="1:9" ht="12.75" customHeight="1">
      <c r="A37" s="389" t="s">
        <v>1216</v>
      </c>
      <c r="B37" s="380"/>
      <c r="C37" s="413">
        <v>0</v>
      </c>
      <c r="D37" s="400">
        <v>0</v>
      </c>
      <c r="E37" s="413">
        <v>8975.8</v>
      </c>
      <c r="F37" s="400">
        <v>171.7285478731701</v>
      </c>
      <c r="G37" s="382"/>
      <c r="H37" s="380"/>
      <c r="I37" s="15"/>
    </row>
    <row r="38" spans="1:9" ht="12.75" customHeight="1">
      <c r="A38" s="389" t="s">
        <v>293</v>
      </c>
      <c r="B38" s="380"/>
      <c r="C38" s="413">
        <v>0</v>
      </c>
      <c r="D38" s="400">
        <v>0</v>
      </c>
      <c r="E38" s="413">
        <v>211074.80000000002</v>
      </c>
      <c r="F38" s="400">
        <v>170.70924430581007</v>
      </c>
      <c r="G38" s="382"/>
      <c r="H38" s="380"/>
      <c r="I38" s="15"/>
    </row>
    <row r="39" spans="1:9" ht="12.75" customHeight="1">
      <c r="A39" s="389" t="s">
        <v>1217</v>
      </c>
      <c r="B39" s="380"/>
      <c r="C39" s="413">
        <v>0</v>
      </c>
      <c r="D39" s="400">
        <v>0</v>
      </c>
      <c r="E39" s="413">
        <v>33879.8</v>
      </c>
      <c r="F39" s="400">
        <v>192.20977691721907</v>
      </c>
      <c r="G39" s="382"/>
      <c r="H39" s="380"/>
      <c r="I39" s="15"/>
    </row>
    <row r="40" spans="1:9" ht="12.75" customHeight="1">
      <c r="A40" s="389" t="s">
        <v>1218</v>
      </c>
      <c r="B40" s="380"/>
      <c r="C40" s="413">
        <v>0</v>
      </c>
      <c r="D40" s="400">
        <v>0</v>
      </c>
      <c r="E40" s="413">
        <v>38433.200000000004</v>
      </c>
      <c r="F40" s="400">
        <v>166.26612408022228</v>
      </c>
      <c r="G40" s="382"/>
      <c r="H40" s="380"/>
      <c r="I40" s="15"/>
    </row>
    <row r="41" spans="1:9" ht="12.75" customHeight="1">
      <c r="A41" s="389" t="s">
        <v>296</v>
      </c>
      <c r="B41" s="380"/>
      <c r="C41" s="413">
        <v>0</v>
      </c>
      <c r="D41" s="400">
        <v>0</v>
      </c>
      <c r="E41" s="413">
        <v>178089.10000000003</v>
      </c>
      <c r="F41" s="400">
        <v>144.18555711719577</v>
      </c>
      <c r="G41" s="382"/>
      <c r="H41" s="380"/>
      <c r="I41" s="15"/>
    </row>
    <row r="42" spans="1:9" ht="12.75" customHeight="1">
      <c r="A42" s="389" t="s">
        <v>297</v>
      </c>
      <c r="B42" s="380"/>
      <c r="C42" s="413">
        <v>1997</v>
      </c>
      <c r="D42" s="400">
        <v>75</v>
      </c>
      <c r="E42" s="413">
        <v>91462.5</v>
      </c>
      <c r="F42" s="400">
        <v>106.29102419024188</v>
      </c>
      <c r="G42" s="382"/>
      <c r="H42" s="380"/>
      <c r="I42" s="15"/>
    </row>
    <row r="43" spans="1:9" ht="12.75" customHeight="1">
      <c r="A43" s="389" t="s">
        <v>313</v>
      </c>
      <c r="B43" s="380"/>
      <c r="C43" s="413">
        <v>0</v>
      </c>
      <c r="D43" s="400">
        <v>0</v>
      </c>
      <c r="E43" s="413">
        <v>83692.7</v>
      </c>
      <c r="F43" s="400">
        <v>157.3526209573834</v>
      </c>
      <c r="G43" s="382"/>
      <c r="H43" s="380"/>
      <c r="I43" s="15"/>
    </row>
    <row r="44" spans="1:9" ht="12.75" customHeight="1">
      <c r="A44" s="389" t="s">
        <v>298</v>
      </c>
      <c r="B44" s="380"/>
      <c r="C44" s="413">
        <v>3744.2</v>
      </c>
      <c r="D44" s="400">
        <v>80.06572832647828</v>
      </c>
      <c r="E44" s="413">
        <v>577930</v>
      </c>
      <c r="F44" s="400">
        <v>164.89764262107866</v>
      </c>
      <c r="G44" s="382"/>
      <c r="H44" s="380"/>
      <c r="I44" s="15"/>
    </row>
    <row r="45" spans="1:9" ht="12.75" customHeight="1">
      <c r="A45" s="389" t="s">
        <v>1219</v>
      </c>
      <c r="B45" s="380"/>
      <c r="C45" s="413">
        <v>0</v>
      </c>
      <c r="D45" s="400">
        <v>0</v>
      </c>
      <c r="E45" s="413">
        <v>65886.7</v>
      </c>
      <c r="F45" s="400">
        <v>190.17907863043678</v>
      </c>
      <c r="G45" s="382"/>
      <c r="H45" s="380"/>
      <c r="I45" s="15"/>
    </row>
    <row r="46" spans="1:9" ht="12.75" customHeight="1">
      <c r="A46" s="389" t="s">
        <v>299</v>
      </c>
      <c r="B46" s="380"/>
      <c r="C46" s="413">
        <v>0</v>
      </c>
      <c r="D46" s="400">
        <v>0</v>
      </c>
      <c r="E46" s="413">
        <v>78745.29999999999</v>
      </c>
      <c r="F46" s="400">
        <v>114.88483630134118</v>
      </c>
      <c r="G46" s="382"/>
      <c r="H46" s="380"/>
      <c r="I46" s="15"/>
    </row>
    <row r="47" spans="1:9" ht="12.75" customHeight="1">
      <c r="A47" s="389" t="s">
        <v>1220</v>
      </c>
      <c r="B47" s="380"/>
      <c r="C47" s="413">
        <v>0</v>
      </c>
      <c r="D47" s="400">
        <v>0</v>
      </c>
      <c r="E47" s="413">
        <v>17966.1</v>
      </c>
      <c r="F47" s="400">
        <v>108.66740694975537</v>
      </c>
      <c r="G47" s="382"/>
      <c r="H47" s="380"/>
      <c r="I47" s="15"/>
    </row>
    <row r="48" spans="1:9" ht="12.75" customHeight="1">
      <c r="A48" s="389" t="s">
        <v>300</v>
      </c>
      <c r="B48" s="380"/>
      <c r="C48" s="413">
        <v>0</v>
      </c>
      <c r="D48" s="400">
        <v>0</v>
      </c>
      <c r="E48" s="413">
        <v>93071.2</v>
      </c>
      <c r="F48" s="400">
        <v>113.54569404928701</v>
      </c>
      <c r="G48" s="382"/>
      <c r="H48" s="380"/>
      <c r="I48" s="15"/>
    </row>
    <row r="49" spans="1:9" ht="12.75" customHeight="1">
      <c r="A49" s="389" t="s">
        <v>301</v>
      </c>
      <c r="B49" s="380"/>
      <c r="C49" s="413">
        <v>10472.2</v>
      </c>
      <c r="D49" s="400">
        <v>140.09415404595023</v>
      </c>
      <c r="E49" s="413">
        <v>897346.1</v>
      </c>
      <c r="F49" s="400">
        <v>191.6868519292612</v>
      </c>
      <c r="G49" s="382"/>
      <c r="H49" s="380"/>
      <c r="I49" s="15"/>
    </row>
    <row r="50" spans="1:9" ht="12.75" customHeight="1">
      <c r="A50" s="389" t="s">
        <v>302</v>
      </c>
      <c r="B50" s="380"/>
      <c r="C50" s="413">
        <v>1495.5</v>
      </c>
      <c r="D50" s="400">
        <v>82</v>
      </c>
      <c r="E50" s="413">
        <v>197492.00000000006</v>
      </c>
      <c r="F50" s="400">
        <v>108.74952706945089</v>
      </c>
      <c r="G50" s="382"/>
      <c r="H50" s="380"/>
      <c r="I50" s="15"/>
    </row>
    <row r="51" spans="1:9" ht="12.75" customHeight="1">
      <c r="A51" s="389" t="s">
        <v>303</v>
      </c>
      <c r="B51" s="380"/>
      <c r="C51" s="413">
        <v>0</v>
      </c>
      <c r="D51" s="400">
        <v>0</v>
      </c>
      <c r="E51" s="413">
        <v>178976.2</v>
      </c>
      <c r="F51" s="400">
        <v>126.00031009709672</v>
      </c>
      <c r="G51" s="382"/>
      <c r="H51" s="380"/>
      <c r="I51" s="15"/>
    </row>
    <row r="52" spans="1:9" ht="12.75" customHeight="1">
      <c r="A52" s="389" t="s">
        <v>314</v>
      </c>
      <c r="B52" s="380"/>
      <c r="C52" s="413">
        <v>0</v>
      </c>
      <c r="D52" s="400">
        <v>0</v>
      </c>
      <c r="E52" s="413">
        <v>65092.2</v>
      </c>
      <c r="F52" s="400">
        <v>162.99304524966126</v>
      </c>
      <c r="G52" s="382"/>
      <c r="H52" s="380"/>
      <c r="I52" s="15"/>
    </row>
    <row r="53" spans="1:9" ht="12.75" customHeight="1">
      <c r="A53" s="389" t="s">
        <v>1221</v>
      </c>
      <c r="B53" s="380"/>
      <c r="C53" s="501">
        <v>0</v>
      </c>
      <c r="D53" s="404">
        <v>0</v>
      </c>
      <c r="E53" s="501">
        <v>12413.2</v>
      </c>
      <c r="F53" s="404">
        <v>97.331026649051</v>
      </c>
      <c r="G53" s="382"/>
      <c r="H53" s="380"/>
      <c r="I53" s="15"/>
    </row>
    <row r="54" spans="1:9" ht="12.75" customHeight="1">
      <c r="A54" s="389" t="s">
        <v>304</v>
      </c>
      <c r="B54" s="380"/>
      <c r="C54" s="501">
        <v>98056.59999999999</v>
      </c>
      <c r="D54" s="404">
        <v>154.05316113346782</v>
      </c>
      <c r="E54" s="501">
        <v>6634179.6</v>
      </c>
      <c r="F54" s="404">
        <v>172.0146006598917</v>
      </c>
      <c r="G54" s="382"/>
      <c r="H54" s="380"/>
      <c r="I54" s="15"/>
    </row>
    <row r="55" spans="1:9" ht="12.75" customHeight="1">
      <c r="A55" s="392" t="s">
        <v>36</v>
      </c>
      <c r="B55" s="380"/>
      <c r="C55" s="413"/>
      <c r="D55" s="400"/>
      <c r="E55" s="413"/>
      <c r="F55" s="400"/>
      <c r="G55" s="382"/>
      <c r="H55" s="380"/>
      <c r="I55" s="15"/>
    </row>
    <row r="56" spans="1:9" ht="12.75" customHeight="1">
      <c r="A56" s="392" t="s">
        <v>1222</v>
      </c>
      <c r="B56" s="390"/>
      <c r="C56" s="393" t="s">
        <v>0</v>
      </c>
      <c r="D56" s="394" t="s">
        <v>1</v>
      </c>
      <c r="E56" s="393" t="s">
        <v>0</v>
      </c>
      <c r="F56" s="394" t="s">
        <v>1</v>
      </c>
      <c r="G56" s="382"/>
      <c r="H56" s="380"/>
      <c r="I56" s="15"/>
    </row>
    <row r="57" spans="1:9" ht="12.75" customHeight="1">
      <c r="A57" s="389" t="s">
        <v>1223</v>
      </c>
      <c r="B57" s="380"/>
      <c r="C57" s="413">
        <v>0</v>
      </c>
      <c r="D57" s="400">
        <v>0</v>
      </c>
      <c r="E57" s="413">
        <v>10979.6</v>
      </c>
      <c r="F57" s="400">
        <v>122.77976429013806</v>
      </c>
      <c r="G57" s="382"/>
      <c r="H57" s="380"/>
      <c r="I57" s="15"/>
    </row>
    <row r="58" spans="1:9" ht="12.75" customHeight="1">
      <c r="A58" s="389" t="s">
        <v>1224</v>
      </c>
      <c r="B58" s="380"/>
      <c r="C58" s="413">
        <v>0</v>
      </c>
      <c r="D58" s="400">
        <v>0</v>
      </c>
      <c r="E58" s="413">
        <v>11368.6</v>
      </c>
      <c r="F58" s="400">
        <v>145.43879633376142</v>
      </c>
      <c r="G58" s="382"/>
      <c r="H58" s="380"/>
      <c r="I58" s="15"/>
    </row>
    <row r="59" spans="1:9" ht="12.75" customHeight="1">
      <c r="A59" s="389" t="s">
        <v>1225</v>
      </c>
      <c r="B59" s="380"/>
      <c r="C59" s="413">
        <v>0</v>
      </c>
      <c r="D59" s="400">
        <v>0</v>
      </c>
      <c r="E59" s="501">
        <v>43903.5</v>
      </c>
      <c r="F59" s="404">
        <v>161.5758242509139</v>
      </c>
      <c r="G59" s="382"/>
      <c r="H59" s="380"/>
      <c r="I59" s="15"/>
    </row>
    <row r="60" spans="1:9" ht="12.75" customHeight="1">
      <c r="A60" s="389" t="s">
        <v>304</v>
      </c>
      <c r="B60" s="380"/>
      <c r="C60" s="501">
        <v>0</v>
      </c>
      <c r="D60" s="404">
        <v>0</v>
      </c>
      <c r="E60" s="501">
        <v>66251.7</v>
      </c>
      <c r="F60" s="404">
        <v>152.3772582439394</v>
      </c>
      <c r="G60" s="382"/>
      <c r="H60" s="380"/>
      <c r="I60" s="15"/>
    </row>
    <row r="61" spans="1:9" ht="12.75" customHeight="1">
      <c r="A61" s="389" t="s">
        <v>1226</v>
      </c>
      <c r="B61" s="380"/>
      <c r="C61" s="501">
        <v>98056.59999999999</v>
      </c>
      <c r="D61" s="404">
        <v>154.05316113346782</v>
      </c>
      <c r="E61" s="501">
        <v>6700431.3</v>
      </c>
      <c r="F61" s="404">
        <v>171.8204329622781</v>
      </c>
      <c r="G61" s="382"/>
      <c r="H61" s="380"/>
      <c r="I61" s="15"/>
    </row>
    <row r="62" spans="1:9" ht="12.75" customHeight="1">
      <c r="A62" s="392" t="s">
        <v>1227</v>
      </c>
      <c r="B62" s="390"/>
      <c r="C62" s="393" t="s">
        <v>306</v>
      </c>
      <c r="D62" s="394" t="s">
        <v>307</v>
      </c>
      <c r="E62" s="393" t="s">
        <v>306</v>
      </c>
      <c r="F62" s="394" t="s">
        <v>307</v>
      </c>
      <c r="G62" s="382"/>
      <c r="H62" s="380"/>
      <c r="I62" s="15"/>
    </row>
    <row r="63" spans="1:9" ht="12.75" customHeight="1">
      <c r="A63" s="389" t="s">
        <v>287</v>
      </c>
      <c r="B63" s="380"/>
      <c r="C63" s="413">
        <v>0</v>
      </c>
      <c r="D63" s="400">
        <v>0</v>
      </c>
      <c r="E63" s="413">
        <v>261</v>
      </c>
      <c r="F63" s="400">
        <v>1154.6360153256705</v>
      </c>
      <c r="G63" s="382"/>
      <c r="H63" s="380"/>
      <c r="I63" s="15"/>
    </row>
    <row r="64" spans="1:9" ht="12.75" customHeight="1">
      <c r="A64" s="389" t="s">
        <v>1218</v>
      </c>
      <c r="B64" s="380"/>
      <c r="C64" s="413">
        <v>0</v>
      </c>
      <c r="D64" s="400">
        <v>0</v>
      </c>
      <c r="E64" s="413">
        <v>12</v>
      </c>
      <c r="F64" s="400">
        <v>1212.5</v>
      </c>
      <c r="G64" s="382"/>
      <c r="H64" s="380"/>
      <c r="I64" s="15"/>
    </row>
    <row r="65" spans="1:9" ht="12.75" customHeight="1">
      <c r="A65" s="389" t="s">
        <v>304</v>
      </c>
      <c r="B65" s="380"/>
      <c r="C65" s="501">
        <v>0</v>
      </c>
      <c r="D65" s="404">
        <v>0</v>
      </c>
      <c r="E65" s="501">
        <v>273</v>
      </c>
      <c r="F65" s="404">
        <v>1157.179487179487</v>
      </c>
      <c r="G65" s="382"/>
      <c r="H65" s="380"/>
      <c r="I65" s="15"/>
    </row>
    <row r="66" spans="1:9" ht="12.75" customHeight="1">
      <c r="A66" s="389" t="s">
        <v>1226</v>
      </c>
      <c r="B66" s="380"/>
      <c r="C66" s="501">
        <v>98056.59999999999</v>
      </c>
      <c r="D66" s="404">
        <v>154.05316113346782</v>
      </c>
      <c r="E66" s="501">
        <v>6701202.8</v>
      </c>
      <c r="F66" s="404">
        <v>171.85352180357827</v>
      </c>
      <c r="G66" s="382"/>
      <c r="H66" s="380"/>
      <c r="I66" s="15"/>
    </row>
    <row r="67" spans="1:9" ht="12.75" customHeight="1">
      <c r="A67" s="392" t="s">
        <v>1228</v>
      </c>
      <c r="B67" s="390"/>
      <c r="C67" s="393" t="s">
        <v>0</v>
      </c>
      <c r="D67" s="394" t="s">
        <v>1</v>
      </c>
      <c r="E67" s="393" t="s">
        <v>0</v>
      </c>
      <c r="F67" s="394" t="s">
        <v>1</v>
      </c>
      <c r="G67" s="382"/>
      <c r="H67" s="380"/>
      <c r="I67" s="15"/>
    </row>
    <row r="68" spans="1:9" ht="12.75" customHeight="1">
      <c r="A68" s="389" t="s">
        <v>278</v>
      </c>
      <c r="B68" s="380"/>
      <c r="C68" s="413">
        <v>0</v>
      </c>
      <c r="D68" s="400">
        <v>0</v>
      </c>
      <c r="E68" s="413">
        <v>1183</v>
      </c>
      <c r="F68" s="400">
        <v>217.62890955198648</v>
      </c>
      <c r="G68" s="382"/>
      <c r="H68" s="380"/>
      <c r="I68" s="15"/>
    </row>
    <row r="69" spans="1:9" ht="12.75" customHeight="1">
      <c r="A69" s="389" t="s">
        <v>294</v>
      </c>
      <c r="B69" s="380"/>
      <c r="C69" s="413">
        <v>0</v>
      </c>
      <c r="D69" s="400">
        <v>0</v>
      </c>
      <c r="E69" s="501">
        <v>497</v>
      </c>
      <c r="F69" s="404">
        <v>115</v>
      </c>
      <c r="G69" s="382"/>
      <c r="H69" s="380"/>
      <c r="I69" s="15"/>
    </row>
    <row r="70" spans="1:9" ht="12.75" customHeight="1">
      <c r="A70" s="389" t="s">
        <v>304</v>
      </c>
      <c r="B70" s="380"/>
      <c r="C70" s="501">
        <v>0</v>
      </c>
      <c r="D70" s="404">
        <v>0</v>
      </c>
      <c r="E70" s="501">
        <v>1680</v>
      </c>
      <c r="F70" s="404">
        <v>187.26785714285714</v>
      </c>
      <c r="G70" s="382"/>
      <c r="H70" s="380"/>
      <c r="I70" s="15"/>
    </row>
    <row r="71" spans="1:9" ht="12.75" customHeight="1">
      <c r="A71" s="389" t="s">
        <v>308</v>
      </c>
      <c r="B71" s="380"/>
      <c r="C71" s="501">
        <v>98056.59999999999</v>
      </c>
      <c r="D71" s="404">
        <v>154.05316113346782</v>
      </c>
      <c r="E71" s="501">
        <v>6702384.3</v>
      </c>
      <c r="F71" s="404">
        <v>171.86444039026526</v>
      </c>
      <c r="G71" s="382"/>
      <c r="H71" s="380"/>
      <c r="I71" s="15"/>
    </row>
    <row r="72" spans="1:9" ht="12.75" customHeight="1">
      <c r="A72" s="389"/>
      <c r="B72" s="380"/>
      <c r="C72" s="501" t="s">
        <v>1488</v>
      </c>
      <c r="D72" s="400"/>
      <c r="E72" s="378"/>
      <c r="F72" s="400"/>
      <c r="G72" s="382"/>
      <c r="H72" s="501" t="s">
        <v>1489</v>
      </c>
      <c r="I72" s="15"/>
    </row>
    <row r="73" spans="1:9" ht="12.75" customHeight="1">
      <c r="A73" s="392" t="s">
        <v>40</v>
      </c>
      <c r="B73" s="627" t="s">
        <v>41</v>
      </c>
      <c r="C73" s="628" t="s">
        <v>0</v>
      </c>
      <c r="D73" s="408" t="s">
        <v>164</v>
      </c>
      <c r="E73" s="628" t="s">
        <v>41</v>
      </c>
      <c r="F73" s="408" t="s">
        <v>0</v>
      </c>
      <c r="G73" s="629" t="s">
        <v>164</v>
      </c>
      <c r="H73" s="627" t="s">
        <v>2</v>
      </c>
      <c r="I73" s="15"/>
    </row>
    <row r="74" spans="1:9" ht="12.75" customHeight="1">
      <c r="A74" s="389" t="s">
        <v>42</v>
      </c>
      <c r="B74" s="380">
        <v>0</v>
      </c>
      <c r="C74" s="413">
        <v>0</v>
      </c>
      <c r="D74" s="400">
        <v>0</v>
      </c>
      <c r="E74" s="413">
        <v>5</v>
      </c>
      <c r="F74" s="400">
        <v>249.5</v>
      </c>
      <c r="G74" s="382">
        <v>210</v>
      </c>
      <c r="H74" s="500">
        <v>3.722555867171031E-05</v>
      </c>
      <c r="I74" s="15"/>
    </row>
    <row r="75" spans="1:9" ht="12.75" customHeight="1">
      <c r="A75" s="392" t="s">
        <v>43</v>
      </c>
      <c r="B75" s="390">
        <v>1965</v>
      </c>
      <c r="C75" s="393">
        <v>98056.6</v>
      </c>
      <c r="D75" s="394">
        <v>154.0531611334678</v>
      </c>
      <c r="E75" s="393">
        <v>134386</v>
      </c>
      <c r="F75" s="394">
        <v>6702134.799999999</v>
      </c>
      <c r="G75" s="502">
        <v>171.86302071990556</v>
      </c>
      <c r="H75" s="555">
        <v>0.9999627744413283</v>
      </c>
      <c r="I75" s="15"/>
    </row>
    <row r="76" spans="1:9" ht="12.75" customHeight="1">
      <c r="A76" s="389" t="s">
        <v>44</v>
      </c>
      <c r="B76" s="390">
        <v>1965</v>
      </c>
      <c r="C76" s="393">
        <v>98056.6</v>
      </c>
      <c r="D76" s="394">
        <v>154.0531611334678</v>
      </c>
      <c r="E76" s="393">
        <v>134391</v>
      </c>
      <c r="F76" s="394">
        <v>6702384.299999999</v>
      </c>
      <c r="G76" s="502">
        <v>171.86444039026532</v>
      </c>
      <c r="H76" s="555">
        <v>1</v>
      </c>
      <c r="I76" s="15"/>
    </row>
    <row r="77" spans="1:9" ht="12.75" customHeight="1">
      <c r="A77" s="392"/>
      <c r="B77" s="380"/>
      <c r="C77" s="393"/>
      <c r="D77" s="394"/>
      <c r="E77" s="393"/>
      <c r="F77" s="394"/>
      <c r="G77" s="382"/>
      <c r="H77" s="380"/>
      <c r="I77" s="15"/>
    </row>
    <row r="78" spans="1:9" ht="12.75" customHeight="1">
      <c r="A78" s="392"/>
      <c r="B78" s="380"/>
      <c r="C78" s="393"/>
      <c r="D78" s="394"/>
      <c r="E78" s="393"/>
      <c r="F78" s="394"/>
      <c r="G78" s="382"/>
      <c r="H78" s="380"/>
      <c r="I78" s="15"/>
    </row>
    <row r="79" spans="1:9" ht="12.75" customHeight="1">
      <c r="A79" s="392"/>
      <c r="B79" s="380"/>
      <c r="C79" s="393"/>
      <c r="D79" s="394"/>
      <c r="E79" s="393"/>
      <c r="F79" s="394"/>
      <c r="G79" s="382"/>
      <c r="H79" s="380"/>
      <c r="I79" s="15"/>
    </row>
    <row r="80" spans="1:9" ht="12.75" customHeight="1">
      <c r="A80" s="389"/>
      <c r="B80" s="380"/>
      <c r="C80" s="413"/>
      <c r="D80" s="400"/>
      <c r="E80" s="413"/>
      <c r="F80" s="400"/>
      <c r="G80" s="382"/>
      <c r="H80" s="380"/>
      <c r="I80" s="15"/>
    </row>
    <row r="81" spans="1:9" ht="12.75" customHeight="1">
      <c r="A81" s="389"/>
      <c r="B81" s="380"/>
      <c r="C81" s="413"/>
      <c r="D81" s="400"/>
      <c r="E81" s="413"/>
      <c r="F81" s="400"/>
      <c r="G81" s="382"/>
      <c r="H81" s="380"/>
      <c r="I81" s="15"/>
    </row>
    <row r="82" spans="1:9" ht="12.75" customHeight="1">
      <c r="A82" s="389"/>
      <c r="B82" s="380"/>
      <c r="C82" s="413"/>
      <c r="D82" s="400"/>
      <c r="E82" s="413"/>
      <c r="F82" s="400"/>
      <c r="G82" s="382"/>
      <c r="H82" s="380"/>
      <c r="I82" s="15"/>
    </row>
    <row r="83" spans="1:9" ht="12.75" customHeight="1">
      <c r="A83" s="389"/>
      <c r="B83" s="380"/>
      <c r="C83" s="413"/>
      <c r="D83" s="400"/>
      <c r="E83" s="413"/>
      <c r="F83" s="400"/>
      <c r="G83" s="382"/>
      <c r="H83" s="380"/>
      <c r="I83" s="15"/>
    </row>
    <row r="84" spans="1:9" ht="12.75" customHeight="1">
      <c r="A84" s="389"/>
      <c r="B84" s="380"/>
      <c r="C84" s="413"/>
      <c r="D84" s="400"/>
      <c r="E84" s="413"/>
      <c r="F84" s="400"/>
      <c r="G84" s="382"/>
      <c r="H84" s="380"/>
      <c r="I84" s="15"/>
    </row>
    <row r="85" spans="1:9" ht="12.75" customHeight="1">
      <c r="A85" s="389"/>
      <c r="B85" s="380"/>
      <c r="C85" s="413"/>
      <c r="D85" s="400"/>
      <c r="E85" s="413"/>
      <c r="F85" s="400"/>
      <c r="G85" s="382"/>
      <c r="H85" s="380"/>
      <c r="I85" s="15"/>
    </row>
    <row r="86" spans="1:9" ht="12.75" customHeight="1">
      <c r="A86" s="389"/>
      <c r="B86" s="380"/>
      <c r="C86" s="413"/>
      <c r="D86" s="400"/>
      <c r="E86" s="413"/>
      <c r="F86" s="400"/>
      <c r="G86" s="382"/>
      <c r="H86" s="380"/>
      <c r="I86" s="15"/>
    </row>
    <row r="87" spans="1:9" ht="12.75" customHeight="1">
      <c r="A87" s="389"/>
      <c r="B87" s="380"/>
      <c r="C87" s="413"/>
      <c r="D87" s="400"/>
      <c r="E87" s="413"/>
      <c r="F87" s="400"/>
      <c r="G87" s="382"/>
      <c r="H87" s="380"/>
      <c r="I87" s="15"/>
    </row>
    <row r="88" spans="1:9" ht="12.75" customHeight="1">
      <c r="A88" s="389"/>
      <c r="B88" s="380"/>
      <c r="C88" s="413"/>
      <c r="D88" s="400"/>
      <c r="E88" s="413"/>
      <c r="F88" s="400"/>
      <c r="G88" s="382"/>
      <c r="H88" s="380"/>
      <c r="I88" s="15"/>
    </row>
    <row r="89" spans="1:9" ht="12.75" customHeight="1">
      <c r="A89" s="389"/>
      <c r="B89" s="380"/>
      <c r="C89" s="413"/>
      <c r="D89" s="400"/>
      <c r="E89" s="413"/>
      <c r="F89" s="400"/>
      <c r="G89" s="382"/>
      <c r="H89" s="380"/>
      <c r="I89" s="15"/>
    </row>
    <row r="90" spans="1:9" ht="12.75" customHeight="1">
      <c r="A90" s="389"/>
      <c r="B90" s="380"/>
      <c r="C90" s="413"/>
      <c r="D90" s="400"/>
      <c r="E90" s="413"/>
      <c r="F90" s="400"/>
      <c r="G90" s="382"/>
      <c r="H90" s="380"/>
      <c r="I90" s="15"/>
    </row>
    <row r="91" spans="1:9" ht="12.75" customHeight="1">
      <c r="A91" s="389"/>
      <c r="B91" s="380"/>
      <c r="C91" s="413"/>
      <c r="D91" s="400"/>
      <c r="E91" s="413"/>
      <c r="F91" s="400"/>
      <c r="G91" s="382"/>
      <c r="H91" s="380"/>
      <c r="I91" s="15"/>
    </row>
    <row r="92" spans="1:9" ht="12.75" customHeight="1">
      <c r="A92" s="389"/>
      <c r="B92" s="380"/>
      <c r="C92" s="413"/>
      <c r="D92" s="400"/>
      <c r="E92" s="413"/>
      <c r="F92" s="400"/>
      <c r="G92" s="382"/>
      <c r="H92" s="380"/>
      <c r="I92" s="15"/>
    </row>
    <row r="93" spans="1:9" ht="12.75" customHeight="1">
      <c r="A93" s="389"/>
      <c r="B93" s="380"/>
      <c r="C93" s="413"/>
      <c r="D93" s="400"/>
      <c r="E93" s="413"/>
      <c r="F93" s="400"/>
      <c r="G93" s="382"/>
      <c r="H93" s="380"/>
      <c r="I93" s="15"/>
    </row>
    <row r="94" spans="1:9" ht="12.75" customHeight="1">
      <c r="A94" s="389"/>
      <c r="B94" s="380"/>
      <c r="C94" s="413"/>
      <c r="D94" s="400"/>
      <c r="E94" s="413"/>
      <c r="F94" s="400"/>
      <c r="G94" s="382"/>
      <c r="H94" s="380"/>
      <c r="I94" s="15"/>
    </row>
    <row r="95" spans="1:9" ht="12.75" customHeight="1">
      <c r="A95" s="389"/>
      <c r="B95" s="380"/>
      <c r="C95" s="413"/>
      <c r="D95" s="400"/>
      <c r="E95" s="413"/>
      <c r="F95" s="400"/>
      <c r="G95" s="382"/>
      <c r="H95" s="380"/>
      <c r="I95" s="15"/>
    </row>
    <row r="96" spans="1:9" ht="12.75" customHeight="1">
      <c r="A96" s="389"/>
      <c r="B96" s="380"/>
      <c r="C96" s="413"/>
      <c r="D96" s="400"/>
      <c r="E96" s="413"/>
      <c r="F96" s="400"/>
      <c r="G96" s="382"/>
      <c r="H96" s="380"/>
      <c r="I96" s="15"/>
    </row>
    <row r="97" spans="1:9" ht="12.75" customHeight="1">
      <c r="A97" s="389"/>
      <c r="B97" s="380"/>
      <c r="C97" s="413"/>
      <c r="D97" s="400"/>
      <c r="E97" s="413"/>
      <c r="F97" s="400"/>
      <c r="G97" s="382"/>
      <c r="H97" s="380"/>
      <c r="I97" s="15"/>
    </row>
    <row r="98" spans="1:9" ht="12.75" customHeight="1">
      <c r="A98" s="389"/>
      <c r="B98" s="380"/>
      <c r="C98" s="413"/>
      <c r="D98" s="400"/>
      <c r="E98" s="413"/>
      <c r="F98" s="400"/>
      <c r="G98" s="382"/>
      <c r="H98" s="380"/>
      <c r="I98" s="15"/>
    </row>
    <row r="99" spans="1:9" ht="12.75" customHeight="1">
      <c r="A99" s="389"/>
      <c r="B99" s="380"/>
      <c r="C99" s="413"/>
      <c r="D99" s="400"/>
      <c r="E99" s="413"/>
      <c r="F99" s="400"/>
      <c r="G99" s="382"/>
      <c r="H99" s="380"/>
      <c r="I99" s="15"/>
    </row>
    <row r="100" spans="1:9" ht="12.75" customHeight="1">
      <c r="A100" s="389"/>
      <c r="B100" s="380"/>
      <c r="C100" s="413"/>
      <c r="D100" s="400"/>
      <c r="E100" s="413"/>
      <c r="F100" s="400"/>
      <c r="G100" s="382"/>
      <c r="H100" s="380"/>
      <c r="I100" s="15"/>
    </row>
    <row r="101" spans="1:9" ht="12.75" customHeight="1">
      <c r="A101" s="389"/>
      <c r="B101" s="380"/>
      <c r="C101" s="413"/>
      <c r="D101" s="400"/>
      <c r="E101" s="413"/>
      <c r="F101" s="400"/>
      <c r="G101" s="382"/>
      <c r="H101" s="380"/>
      <c r="I101" s="15"/>
    </row>
    <row r="102" spans="1:9" ht="12.75" customHeight="1">
      <c r="A102" s="389"/>
      <c r="B102" s="380"/>
      <c r="C102" s="413"/>
      <c r="D102" s="400"/>
      <c r="E102" s="413"/>
      <c r="F102" s="400"/>
      <c r="G102" s="382"/>
      <c r="H102" s="380"/>
      <c r="I102" s="15"/>
    </row>
    <row r="103" spans="1:9" ht="12.75" customHeight="1">
      <c r="A103" s="389"/>
      <c r="B103" s="380"/>
      <c r="C103" s="413"/>
      <c r="D103" s="400"/>
      <c r="E103" s="413"/>
      <c r="F103" s="400"/>
      <c r="G103" s="382"/>
      <c r="H103" s="380"/>
      <c r="I103" s="15"/>
    </row>
    <row r="104" spans="1:9" ht="12.75" customHeight="1">
      <c r="A104" s="389"/>
      <c r="B104" s="380"/>
      <c r="C104" s="413"/>
      <c r="D104" s="400"/>
      <c r="E104" s="413"/>
      <c r="F104" s="400"/>
      <c r="G104" s="382"/>
      <c r="H104" s="380"/>
      <c r="I104" s="15"/>
    </row>
    <row r="105" spans="1:9" ht="12.75" customHeight="1">
      <c r="A105" s="389"/>
      <c r="B105" s="380"/>
      <c r="C105" s="413"/>
      <c r="D105" s="400"/>
      <c r="E105" s="413"/>
      <c r="F105" s="400"/>
      <c r="G105" s="382"/>
      <c r="H105" s="380"/>
      <c r="I105" s="15"/>
    </row>
    <row r="106" spans="1:9" ht="12.75" customHeight="1">
      <c r="A106" s="389"/>
      <c r="B106" s="380"/>
      <c r="C106" s="413"/>
      <c r="D106" s="400"/>
      <c r="E106" s="413"/>
      <c r="F106" s="400"/>
      <c r="G106" s="382"/>
      <c r="H106" s="380"/>
      <c r="I106" s="15"/>
    </row>
    <row r="107" spans="1:9" ht="12.75" customHeight="1">
      <c r="A107" s="389"/>
      <c r="B107" s="380"/>
      <c r="C107" s="413"/>
      <c r="D107" s="400"/>
      <c r="E107" s="413"/>
      <c r="F107" s="400"/>
      <c r="G107" s="382"/>
      <c r="H107" s="380"/>
      <c r="I107" s="15"/>
    </row>
    <row r="108" spans="1:9" ht="12.75" customHeight="1">
      <c r="A108" s="389"/>
      <c r="B108" s="380"/>
      <c r="C108" s="413"/>
      <c r="D108" s="400"/>
      <c r="E108" s="413"/>
      <c r="F108" s="400"/>
      <c r="G108" s="382"/>
      <c r="H108" s="380"/>
      <c r="I108" s="15"/>
    </row>
    <row r="109" spans="1:9" ht="12.75" customHeight="1">
      <c r="A109" s="389"/>
      <c r="B109" s="380"/>
      <c r="C109" s="413"/>
      <c r="D109" s="400"/>
      <c r="E109" s="413"/>
      <c r="F109" s="400"/>
      <c r="G109" s="382"/>
      <c r="H109" s="380"/>
      <c r="I109" s="15"/>
    </row>
    <row r="110" spans="1:9" ht="12.75" customHeight="1">
      <c r="A110" s="389"/>
      <c r="B110" s="380"/>
      <c r="C110" s="413"/>
      <c r="D110" s="400"/>
      <c r="E110" s="413"/>
      <c r="F110" s="400"/>
      <c r="G110" s="382"/>
      <c r="H110" s="380"/>
      <c r="I110" s="15"/>
    </row>
    <row r="111" spans="1:9" ht="12.75" customHeight="1">
      <c r="A111" s="389"/>
      <c r="B111" s="380"/>
      <c r="C111" s="413"/>
      <c r="D111" s="400"/>
      <c r="E111" s="413"/>
      <c r="F111" s="400"/>
      <c r="G111" s="382"/>
      <c r="H111" s="380"/>
      <c r="I111" s="15"/>
    </row>
    <row r="112" spans="1:9" ht="12.75" customHeight="1">
      <c r="A112" s="389"/>
      <c r="B112" s="380"/>
      <c r="C112" s="413"/>
      <c r="D112" s="400"/>
      <c r="E112" s="413"/>
      <c r="F112" s="400"/>
      <c r="G112" s="382"/>
      <c r="H112" s="380"/>
      <c r="I112" s="15"/>
    </row>
    <row r="113" spans="1:9" ht="12.75" customHeight="1">
      <c r="A113" s="389"/>
      <c r="B113" s="380"/>
      <c r="C113" s="413"/>
      <c r="D113" s="400"/>
      <c r="E113" s="413"/>
      <c r="F113" s="400"/>
      <c r="G113" s="382"/>
      <c r="H113" s="380"/>
      <c r="I113" s="15"/>
    </row>
    <row r="114" spans="1:9" ht="12.75" customHeight="1">
      <c r="A114" s="389"/>
      <c r="B114" s="380"/>
      <c r="C114" s="413"/>
      <c r="D114" s="400"/>
      <c r="E114" s="413"/>
      <c r="F114" s="400"/>
      <c r="G114" s="382"/>
      <c r="H114" s="380"/>
      <c r="I114" s="15"/>
    </row>
    <row r="115" spans="1:9" ht="12.75" customHeight="1">
      <c r="A115" s="389"/>
      <c r="B115" s="380"/>
      <c r="C115" s="413"/>
      <c r="D115" s="400"/>
      <c r="E115" s="413"/>
      <c r="F115" s="400"/>
      <c r="G115" s="382"/>
      <c r="H115" s="380"/>
      <c r="I115" s="15"/>
    </row>
    <row r="116" spans="1:9" ht="12.75" customHeight="1">
      <c r="A116" s="389"/>
      <c r="B116" s="380"/>
      <c r="C116" s="413"/>
      <c r="D116" s="400"/>
      <c r="E116" s="413"/>
      <c r="F116" s="400"/>
      <c r="G116" s="382"/>
      <c r="H116" s="380"/>
      <c r="I116" s="15"/>
    </row>
    <row r="117" spans="1:9" ht="12.75" customHeight="1">
      <c r="A117" s="389"/>
      <c r="B117" s="380"/>
      <c r="C117" s="413"/>
      <c r="D117" s="400"/>
      <c r="E117" s="413"/>
      <c r="F117" s="400"/>
      <c r="G117" s="382"/>
      <c r="H117" s="380"/>
      <c r="I117" s="15"/>
    </row>
    <row r="118" spans="1:9" ht="12.75" customHeight="1">
      <c r="A118" s="389"/>
      <c r="B118" s="380"/>
      <c r="C118" s="413"/>
      <c r="D118" s="400"/>
      <c r="E118" s="413"/>
      <c r="F118" s="400"/>
      <c r="G118" s="382"/>
      <c r="H118" s="380"/>
      <c r="I118" s="15"/>
    </row>
    <row r="119" spans="1:9" ht="12.75" customHeight="1">
      <c r="A119" s="389"/>
      <c r="B119" s="380"/>
      <c r="C119" s="413"/>
      <c r="D119" s="400"/>
      <c r="E119" s="413"/>
      <c r="F119" s="400"/>
      <c r="G119" s="382"/>
      <c r="H119" s="380"/>
      <c r="I119" s="15"/>
    </row>
    <row r="120" spans="1:9" ht="12.75" customHeight="1">
      <c r="A120" s="389"/>
      <c r="B120" s="380"/>
      <c r="C120" s="413"/>
      <c r="D120" s="400"/>
      <c r="E120" s="413"/>
      <c r="F120" s="400"/>
      <c r="G120" s="382"/>
      <c r="H120" s="380"/>
      <c r="I120" s="15"/>
    </row>
    <row r="121" spans="1:9" ht="12.75" customHeight="1">
      <c r="A121" s="389"/>
      <c r="B121" s="380"/>
      <c r="C121" s="413"/>
      <c r="D121" s="400"/>
      <c r="E121" s="413"/>
      <c r="F121" s="400"/>
      <c r="G121" s="382"/>
      <c r="H121" s="380"/>
      <c r="I121" s="15"/>
    </row>
    <row r="122" spans="1:9" ht="12.75" customHeight="1">
      <c r="A122" s="389"/>
      <c r="B122" s="380"/>
      <c r="C122" s="413"/>
      <c r="D122" s="400"/>
      <c r="E122" s="413"/>
      <c r="F122" s="400"/>
      <c r="G122" s="382"/>
      <c r="H122" s="380"/>
      <c r="I122" s="15"/>
    </row>
    <row r="123" spans="1:9" ht="12.75" customHeight="1">
      <c r="A123" s="389"/>
      <c r="B123" s="380"/>
      <c r="C123" s="413"/>
      <c r="D123" s="400"/>
      <c r="E123" s="413"/>
      <c r="F123" s="400"/>
      <c r="G123" s="382"/>
      <c r="H123" s="380"/>
      <c r="I123" s="15"/>
    </row>
    <row r="124" spans="1:9" ht="12.75" customHeight="1">
      <c r="A124" s="389"/>
      <c r="B124" s="380"/>
      <c r="C124" s="501"/>
      <c r="D124" s="404"/>
      <c r="E124" s="501"/>
      <c r="F124" s="404"/>
      <c r="G124" s="382"/>
      <c r="H124" s="380"/>
      <c r="I124" s="15"/>
    </row>
    <row r="125" spans="1:9" ht="12.75" customHeight="1">
      <c r="A125" s="389"/>
      <c r="B125" s="380"/>
      <c r="C125" s="501"/>
      <c r="D125" s="404"/>
      <c r="E125" s="501"/>
      <c r="F125" s="404"/>
      <c r="G125" s="382"/>
      <c r="H125" s="380"/>
      <c r="I125" s="15"/>
    </row>
    <row r="126" spans="1:9" ht="12.75" customHeight="1">
      <c r="A126" s="392"/>
      <c r="B126" s="380"/>
      <c r="C126" s="413"/>
      <c r="D126" s="400"/>
      <c r="E126" s="413"/>
      <c r="F126" s="400"/>
      <c r="G126" s="382"/>
      <c r="H126" s="380"/>
      <c r="I126" s="15"/>
    </row>
    <row r="127" spans="1:9" ht="12.75" customHeight="1">
      <c r="A127" s="392"/>
      <c r="B127" s="390"/>
      <c r="C127" s="393"/>
      <c r="D127" s="394"/>
      <c r="E127" s="393"/>
      <c r="F127" s="394"/>
      <c r="G127" s="382"/>
      <c r="H127" s="380"/>
      <c r="I127" s="15"/>
    </row>
    <row r="128" spans="1:9" ht="12.75" customHeight="1">
      <c r="A128" s="389"/>
      <c r="B128" s="380"/>
      <c r="C128" s="413"/>
      <c r="D128" s="400"/>
      <c r="E128" s="413"/>
      <c r="F128" s="400"/>
      <c r="G128" s="382"/>
      <c r="H128" s="380"/>
      <c r="I128" s="15"/>
    </row>
    <row r="129" spans="1:9" ht="12.75" customHeight="1">
      <c r="A129" s="389"/>
      <c r="B129" s="380"/>
      <c r="C129" s="413"/>
      <c r="D129" s="400"/>
      <c r="E129" s="413"/>
      <c r="F129" s="400"/>
      <c r="G129" s="382"/>
      <c r="H129" s="380"/>
      <c r="I129" s="15"/>
    </row>
    <row r="130" spans="1:9" ht="12.75" customHeight="1">
      <c r="A130" s="389"/>
      <c r="B130" s="380"/>
      <c r="C130" s="413"/>
      <c r="D130" s="400"/>
      <c r="E130" s="501"/>
      <c r="F130" s="404"/>
      <c r="G130" s="382"/>
      <c r="H130" s="380"/>
      <c r="I130" s="15"/>
    </row>
    <row r="131" spans="1:9" ht="12.75" customHeight="1">
      <c r="A131" s="389"/>
      <c r="B131" s="380"/>
      <c r="C131" s="501"/>
      <c r="D131" s="404"/>
      <c r="E131" s="501"/>
      <c r="F131" s="404"/>
      <c r="G131" s="382"/>
      <c r="H131" s="380"/>
      <c r="I131" s="15"/>
    </row>
    <row r="132" spans="1:9" ht="12.75" customHeight="1">
      <c r="A132" s="389"/>
      <c r="B132" s="380"/>
      <c r="C132" s="501"/>
      <c r="D132" s="404"/>
      <c r="E132" s="501"/>
      <c r="F132" s="404"/>
      <c r="G132" s="382"/>
      <c r="H132" s="380"/>
      <c r="I132" s="15"/>
    </row>
    <row r="133" spans="1:9" ht="12.75" customHeight="1">
      <c r="A133" s="392"/>
      <c r="B133" s="390"/>
      <c r="C133" s="393"/>
      <c r="D133" s="394"/>
      <c r="E133" s="393"/>
      <c r="F133" s="394"/>
      <c r="G133" s="382"/>
      <c r="H133" s="380"/>
      <c r="I133" s="15"/>
    </row>
    <row r="134" spans="1:9" ht="12.75" customHeight="1">
      <c r="A134" s="389"/>
      <c r="B134" s="380"/>
      <c r="C134" s="413"/>
      <c r="D134" s="400"/>
      <c r="E134" s="413"/>
      <c r="F134" s="400"/>
      <c r="G134" s="382"/>
      <c r="H134" s="380"/>
      <c r="I134" s="15"/>
    </row>
    <row r="135" spans="1:9" ht="12.75" customHeight="1">
      <c r="A135" s="389"/>
      <c r="B135" s="380"/>
      <c r="C135" s="501"/>
      <c r="D135" s="404"/>
      <c r="E135" s="501"/>
      <c r="F135" s="404"/>
      <c r="G135" s="382"/>
      <c r="H135" s="380"/>
      <c r="I135" s="15"/>
    </row>
    <row r="136" spans="1:9" ht="12.75" customHeight="1">
      <c r="A136" s="389"/>
      <c r="B136" s="380"/>
      <c r="C136" s="501"/>
      <c r="D136" s="404"/>
      <c r="E136" s="501"/>
      <c r="F136" s="404"/>
      <c r="G136" s="382"/>
      <c r="H136" s="380"/>
      <c r="I136" s="15"/>
    </row>
    <row r="137" spans="1:9" ht="12.75" customHeight="1">
      <c r="A137" s="389"/>
      <c r="B137" s="380"/>
      <c r="C137" s="413"/>
      <c r="D137" s="400"/>
      <c r="E137" s="413"/>
      <c r="F137" s="400"/>
      <c r="G137" s="382"/>
      <c r="H137" s="380"/>
      <c r="I137" s="15"/>
    </row>
    <row r="138" spans="1:9" ht="12.75" customHeight="1">
      <c r="A138" s="392"/>
      <c r="B138" s="390"/>
      <c r="C138" s="393"/>
      <c r="D138" s="394"/>
      <c r="E138" s="393"/>
      <c r="F138" s="394"/>
      <c r="G138" s="382"/>
      <c r="H138" s="380"/>
      <c r="I138" s="15"/>
    </row>
    <row r="139" spans="1:9" ht="12.75" customHeight="1">
      <c r="A139" s="389"/>
      <c r="B139" s="380"/>
      <c r="C139" s="413"/>
      <c r="D139" s="400"/>
      <c r="E139" s="413"/>
      <c r="F139" s="400"/>
      <c r="G139" s="382"/>
      <c r="H139" s="380"/>
      <c r="I139" s="15"/>
    </row>
    <row r="140" spans="1:9" ht="12.75" customHeight="1">
      <c r="A140" s="389"/>
      <c r="B140" s="380"/>
      <c r="C140" s="413"/>
      <c r="D140" s="400"/>
      <c r="E140" s="501"/>
      <c r="F140" s="404"/>
      <c r="G140" s="382"/>
      <c r="H140" s="380"/>
      <c r="I140" s="15"/>
    </row>
    <row r="141" spans="1:9" ht="12.75" customHeight="1">
      <c r="A141" s="389"/>
      <c r="B141" s="380"/>
      <c r="C141" s="501"/>
      <c r="D141" s="404"/>
      <c r="E141" s="501"/>
      <c r="F141" s="404"/>
      <c r="G141" s="382"/>
      <c r="H141" s="380"/>
      <c r="I141" s="15"/>
    </row>
    <row r="142" spans="1:9" ht="12.75" customHeight="1">
      <c r="A142" s="389"/>
      <c r="B142" s="380"/>
      <c r="C142" s="501"/>
      <c r="D142" s="404"/>
      <c r="E142" s="501"/>
      <c r="F142" s="404"/>
      <c r="G142" s="382"/>
      <c r="H142" s="380"/>
      <c r="I142" s="15"/>
    </row>
    <row r="143" spans="1:9" ht="12.75" customHeight="1">
      <c r="A143" s="389"/>
      <c r="B143" s="380"/>
      <c r="C143" s="501"/>
      <c r="D143" s="400"/>
      <c r="F143" s="400"/>
      <c r="G143" s="382"/>
      <c r="H143" s="501"/>
      <c r="I143" s="15"/>
    </row>
    <row r="144" spans="1:9" ht="12.75" customHeight="1">
      <c r="A144" s="392"/>
      <c r="B144" s="390"/>
      <c r="C144" s="393"/>
      <c r="D144" s="394"/>
      <c r="E144" s="393"/>
      <c r="F144" s="394"/>
      <c r="G144" s="502"/>
      <c r="H144" s="390"/>
      <c r="I144" s="15"/>
    </row>
    <row r="145" spans="1:9" ht="12.75" customHeight="1">
      <c r="A145" s="389"/>
      <c r="B145" s="380"/>
      <c r="C145" s="413"/>
      <c r="D145" s="400"/>
      <c r="E145" s="624"/>
      <c r="F145" s="415"/>
      <c r="G145" s="498"/>
      <c r="H145" s="500"/>
      <c r="I145" s="15"/>
    </row>
    <row r="146" spans="1:9" ht="12.75" customHeight="1">
      <c r="A146" s="389"/>
      <c r="B146" s="390"/>
      <c r="C146" s="393"/>
      <c r="D146" s="394"/>
      <c r="E146" s="625"/>
      <c r="F146" s="424"/>
      <c r="G146" s="626"/>
      <c r="H146" s="555"/>
      <c r="I146" s="15"/>
    </row>
    <row r="147" spans="1:9" ht="12.75" customHeight="1">
      <c r="A147" s="389"/>
      <c r="B147" s="390"/>
      <c r="C147" s="393"/>
      <c r="D147" s="394"/>
      <c r="E147" s="625"/>
      <c r="F147" s="424"/>
      <c r="G147" s="626"/>
      <c r="H147" s="555"/>
      <c r="I147" s="15"/>
    </row>
    <row r="148" spans="1:9" ht="12.75" customHeight="1">
      <c r="A148" s="392"/>
      <c r="B148" s="380"/>
      <c r="C148" s="393"/>
      <c r="D148" s="394"/>
      <c r="E148" s="393"/>
      <c r="F148" s="394"/>
      <c r="G148" s="382"/>
      <c r="H148" s="380"/>
      <c r="I148" s="15"/>
    </row>
    <row r="149" spans="1:9" ht="12.75" customHeight="1">
      <c r="A149" s="141"/>
      <c r="B149" s="138"/>
      <c r="C149" s="142"/>
      <c r="D149" s="584"/>
      <c r="E149" s="142"/>
      <c r="F149" s="585"/>
      <c r="G149" s="138"/>
      <c r="H149" s="586"/>
      <c r="I149" s="15"/>
    </row>
    <row r="150" spans="1:9" ht="12.75" customHeight="1">
      <c r="A150" s="141"/>
      <c r="B150" s="138"/>
      <c r="C150" s="142"/>
      <c r="D150" s="584"/>
      <c r="E150" s="142"/>
      <c r="F150" s="585"/>
      <c r="G150" s="138"/>
      <c r="H150" s="586"/>
      <c r="I150" s="15"/>
    </row>
    <row r="151" spans="1:9" ht="12.75" customHeight="1">
      <c r="A151" s="141"/>
      <c r="B151" s="138"/>
      <c r="C151" s="142"/>
      <c r="D151" s="584"/>
      <c r="E151" s="142"/>
      <c r="F151" s="585"/>
      <c r="G151" s="138"/>
      <c r="H151" s="586"/>
      <c r="I151" s="15"/>
    </row>
    <row r="152" spans="1:9" ht="12.75" customHeight="1">
      <c r="A152" s="141"/>
      <c r="B152" s="138"/>
      <c r="C152" s="142"/>
      <c r="D152" s="584"/>
      <c r="E152" s="142"/>
      <c r="F152" s="585"/>
      <c r="G152" s="138"/>
      <c r="H152" s="586"/>
      <c r="I152" s="15"/>
    </row>
    <row r="153" spans="1:9" ht="12.75" customHeight="1">
      <c r="A153" s="141"/>
      <c r="B153" s="138"/>
      <c r="C153" s="142"/>
      <c r="D153" s="584"/>
      <c r="E153" s="142"/>
      <c r="F153" s="585"/>
      <c r="G153" s="138"/>
      <c r="H153" s="586"/>
      <c r="I153" s="15"/>
    </row>
    <row r="154" spans="1:9" ht="12.75" customHeight="1">
      <c r="A154" s="141"/>
      <c r="B154" s="138"/>
      <c r="C154" s="142"/>
      <c r="D154" s="584"/>
      <c r="E154" s="142"/>
      <c r="F154" s="585"/>
      <c r="G154" s="138"/>
      <c r="H154" s="586"/>
      <c r="I154" s="15"/>
    </row>
    <row r="155" spans="1:9" ht="12.75" customHeight="1">
      <c r="A155" s="141"/>
      <c r="B155" s="138"/>
      <c r="C155" s="142"/>
      <c r="D155" s="584"/>
      <c r="E155" s="142"/>
      <c r="F155" s="585"/>
      <c r="G155" s="138"/>
      <c r="H155" s="586"/>
      <c r="I155" s="15"/>
    </row>
    <row r="156" spans="1:9" ht="12.75" customHeight="1">
      <c r="A156" s="141"/>
      <c r="B156" s="138"/>
      <c r="C156" s="142"/>
      <c r="D156" s="584"/>
      <c r="E156" s="142"/>
      <c r="F156" s="585"/>
      <c r="G156" s="138"/>
      <c r="H156" s="586"/>
      <c r="I156" s="15"/>
    </row>
    <row r="157" spans="1:9" ht="12.75" customHeight="1">
      <c r="A157" s="141"/>
      <c r="B157" s="138"/>
      <c r="C157" s="142"/>
      <c r="D157" s="584"/>
      <c r="E157" s="142"/>
      <c r="F157" s="585"/>
      <c r="G157" s="138"/>
      <c r="H157" s="586"/>
      <c r="I157" s="15"/>
    </row>
    <row r="158" spans="1:9" ht="12.75" customHeight="1">
      <c r="A158" s="141"/>
      <c r="B158" s="138"/>
      <c r="C158" s="142"/>
      <c r="D158" s="584"/>
      <c r="E158" s="142"/>
      <c r="F158" s="585"/>
      <c r="G158" s="138"/>
      <c r="H158" s="586"/>
      <c r="I158" s="15"/>
    </row>
    <row r="159" spans="1:9" ht="12.75" customHeight="1">
      <c r="A159" s="141"/>
      <c r="B159" s="138"/>
      <c r="C159" s="142"/>
      <c r="D159" s="584"/>
      <c r="E159" s="142"/>
      <c r="F159" s="585"/>
      <c r="G159" s="138"/>
      <c r="H159" s="586"/>
      <c r="I159" s="15"/>
    </row>
    <row r="160" spans="1:9" ht="12.75" customHeight="1">
      <c r="A160" s="141"/>
      <c r="B160" s="138"/>
      <c r="C160" s="142"/>
      <c r="D160" s="584"/>
      <c r="E160" s="142"/>
      <c r="F160" s="585"/>
      <c r="G160" s="138"/>
      <c r="H160" s="586"/>
      <c r="I160" s="15"/>
    </row>
    <row r="161" spans="1:9" ht="12.75" customHeight="1">
      <c r="A161" s="141"/>
      <c r="B161" s="138"/>
      <c r="C161" s="142"/>
      <c r="D161" s="584"/>
      <c r="E161" s="142"/>
      <c r="F161" s="585"/>
      <c r="G161" s="138"/>
      <c r="H161" s="586"/>
      <c r="I161" s="15"/>
    </row>
    <row r="162" spans="1:9" ht="12.75" customHeight="1">
      <c r="A162" s="141"/>
      <c r="B162" s="138"/>
      <c r="C162" s="142"/>
      <c r="D162" s="584"/>
      <c r="E162" s="142"/>
      <c r="F162" s="585"/>
      <c r="G162" s="138"/>
      <c r="H162" s="586"/>
      <c r="I162" s="15"/>
    </row>
    <row r="163" spans="1:9" ht="12.75" customHeight="1">
      <c r="A163" s="141"/>
      <c r="B163" s="138"/>
      <c r="C163" s="142"/>
      <c r="D163" s="584"/>
      <c r="E163" s="142"/>
      <c r="F163" s="585"/>
      <c r="G163" s="138"/>
      <c r="H163" s="586"/>
      <c r="I163" s="15"/>
    </row>
    <row r="164" spans="1:9" ht="12.75" customHeight="1">
      <c r="A164" s="141"/>
      <c r="B164" s="138"/>
      <c r="C164" s="142"/>
      <c r="D164" s="584"/>
      <c r="E164" s="142"/>
      <c r="F164" s="585"/>
      <c r="G164" s="138"/>
      <c r="H164" s="586"/>
      <c r="I164" s="15"/>
    </row>
    <row r="165" spans="1:9" ht="12.75" customHeight="1">
      <c r="A165" s="141"/>
      <c r="B165" s="138"/>
      <c r="C165" s="142"/>
      <c r="D165" s="584"/>
      <c r="E165" s="142"/>
      <c r="F165" s="585"/>
      <c r="G165" s="138"/>
      <c r="H165" s="586"/>
      <c r="I165" s="15"/>
    </row>
    <row r="166" spans="1:9" ht="12.75" customHeight="1">
      <c r="A166" s="141"/>
      <c r="B166" s="138"/>
      <c r="C166" s="142"/>
      <c r="D166" s="584"/>
      <c r="E166" s="142"/>
      <c r="F166" s="585"/>
      <c r="G166" s="138"/>
      <c r="H166" s="586"/>
      <c r="I166" s="15"/>
    </row>
    <row r="167" spans="1:9" ht="12.75" customHeight="1">
      <c r="A167" s="141"/>
      <c r="B167" s="138"/>
      <c r="C167" s="142"/>
      <c r="D167" s="584"/>
      <c r="E167" s="142"/>
      <c r="F167" s="585"/>
      <c r="G167" s="138"/>
      <c r="H167" s="586"/>
      <c r="I167" s="15"/>
    </row>
    <row r="168" spans="1:9" ht="12.75" customHeight="1">
      <c r="A168" s="141"/>
      <c r="B168" s="138"/>
      <c r="C168" s="142"/>
      <c r="D168" s="584"/>
      <c r="E168" s="142"/>
      <c r="F168" s="585"/>
      <c r="G168" s="138"/>
      <c r="H168" s="586"/>
      <c r="I168" s="15"/>
    </row>
    <row r="169" spans="1:9" ht="12.75" customHeight="1">
      <c r="A169" s="141"/>
      <c r="B169" s="138"/>
      <c r="C169" s="142"/>
      <c r="D169" s="584"/>
      <c r="E169" s="142"/>
      <c r="F169" s="585"/>
      <c r="G169" s="138"/>
      <c r="H169" s="586"/>
      <c r="I169" s="15"/>
    </row>
    <row r="170" spans="1:9" ht="12.75" customHeight="1">
      <c r="A170" s="141"/>
      <c r="B170" s="138"/>
      <c r="C170" s="142"/>
      <c r="D170" s="584"/>
      <c r="E170" s="142"/>
      <c r="F170" s="585"/>
      <c r="G170" s="138"/>
      <c r="H170" s="586"/>
      <c r="I170" s="15"/>
    </row>
    <row r="171" spans="1:9" ht="12.75" customHeight="1">
      <c r="A171" s="141"/>
      <c r="B171" s="138"/>
      <c r="C171" s="142"/>
      <c r="D171" s="584"/>
      <c r="E171" s="142"/>
      <c r="F171" s="585"/>
      <c r="G171" s="138"/>
      <c r="H171" s="586"/>
      <c r="I171" s="15"/>
    </row>
    <row r="172" spans="1:9" ht="12.75" customHeight="1">
      <c r="A172" s="141"/>
      <c r="B172" s="138"/>
      <c r="C172" s="142"/>
      <c r="D172" s="584"/>
      <c r="E172" s="142"/>
      <c r="F172" s="585"/>
      <c r="G172" s="138"/>
      <c r="H172" s="586"/>
      <c r="I172" s="15"/>
    </row>
    <row r="173" spans="1:9" ht="12.75" customHeight="1">
      <c r="A173" s="141"/>
      <c r="B173" s="138"/>
      <c r="C173" s="142"/>
      <c r="D173" s="584"/>
      <c r="E173" s="142"/>
      <c r="F173" s="585"/>
      <c r="G173" s="138"/>
      <c r="H173" s="586"/>
      <c r="I173" s="15"/>
    </row>
    <row r="174" spans="1:9" ht="12.75" customHeight="1">
      <c r="A174" s="141"/>
      <c r="B174" s="138"/>
      <c r="C174" s="142"/>
      <c r="D174" s="584"/>
      <c r="E174" s="142"/>
      <c r="F174" s="585"/>
      <c r="G174" s="138"/>
      <c r="H174" s="586"/>
      <c r="I174" s="15"/>
    </row>
    <row r="175" spans="1:9" ht="12.75" customHeight="1">
      <c r="A175" s="141"/>
      <c r="B175" s="138"/>
      <c r="C175" s="142"/>
      <c r="D175" s="584"/>
      <c r="E175" s="142"/>
      <c r="F175" s="585"/>
      <c r="G175" s="138"/>
      <c r="H175" s="586"/>
      <c r="I175" s="15"/>
    </row>
    <row r="176" spans="1:9" ht="12.75" customHeight="1">
      <c r="A176" s="141"/>
      <c r="B176" s="138"/>
      <c r="C176" s="142"/>
      <c r="D176" s="584"/>
      <c r="E176" s="142"/>
      <c r="F176" s="585"/>
      <c r="G176" s="138"/>
      <c r="H176" s="586"/>
      <c r="I176" s="15"/>
    </row>
    <row r="177" spans="1:9" ht="12.75" customHeight="1">
      <c r="A177" s="141"/>
      <c r="B177" s="138"/>
      <c r="C177" s="142"/>
      <c r="D177" s="584"/>
      <c r="E177" s="142"/>
      <c r="F177" s="585"/>
      <c r="G177" s="138"/>
      <c r="H177" s="586"/>
      <c r="I177" s="15"/>
    </row>
    <row r="178" spans="1:9" ht="12.75" customHeight="1">
      <c r="A178" s="141"/>
      <c r="B178" s="138"/>
      <c r="C178" s="142"/>
      <c r="D178" s="584"/>
      <c r="E178" s="142"/>
      <c r="F178" s="585"/>
      <c r="G178" s="138"/>
      <c r="H178" s="586"/>
      <c r="I178" s="15"/>
    </row>
    <row r="179" spans="1:9" ht="12.75" customHeight="1">
      <c r="A179" s="141"/>
      <c r="B179" s="138"/>
      <c r="C179" s="142"/>
      <c r="D179" s="584"/>
      <c r="E179" s="142"/>
      <c r="F179" s="585"/>
      <c r="G179" s="138"/>
      <c r="H179" s="586"/>
      <c r="I179" s="15"/>
    </row>
    <row r="180" spans="1:9" ht="12.75" customHeight="1">
      <c r="A180" s="141"/>
      <c r="B180" s="138"/>
      <c r="C180" s="142"/>
      <c r="D180" s="584"/>
      <c r="E180" s="142"/>
      <c r="F180" s="585"/>
      <c r="G180" s="138"/>
      <c r="H180" s="586"/>
      <c r="I180" s="15"/>
    </row>
    <row r="181" spans="1:9" ht="12.75" customHeight="1">
      <c r="A181" s="141"/>
      <c r="B181" s="138"/>
      <c r="C181" s="142"/>
      <c r="D181" s="584"/>
      <c r="E181" s="142"/>
      <c r="F181" s="585"/>
      <c r="G181" s="138"/>
      <c r="H181" s="586"/>
      <c r="I181" s="15"/>
    </row>
    <row r="182" spans="1:9" ht="12.75" customHeight="1">
      <c r="A182" s="141"/>
      <c r="B182" s="138"/>
      <c r="C182" s="142"/>
      <c r="D182" s="584"/>
      <c r="E182" s="142"/>
      <c r="F182" s="585"/>
      <c r="G182" s="138"/>
      <c r="H182" s="586"/>
      <c r="I182" s="15"/>
    </row>
    <row r="183" spans="1:9" ht="12.75" customHeight="1">
      <c r="A183" s="141"/>
      <c r="B183" s="138"/>
      <c r="C183" s="142"/>
      <c r="D183" s="584"/>
      <c r="E183" s="142"/>
      <c r="F183" s="585"/>
      <c r="G183" s="138"/>
      <c r="H183" s="586"/>
      <c r="I183" s="15"/>
    </row>
    <row r="184" spans="1:9" ht="12.75" customHeight="1">
      <c r="A184" s="141"/>
      <c r="B184" s="138"/>
      <c r="C184" s="142"/>
      <c r="D184" s="584"/>
      <c r="E184" s="142"/>
      <c r="F184" s="585"/>
      <c r="G184" s="138"/>
      <c r="H184" s="586"/>
      <c r="I184" s="15"/>
    </row>
    <row r="185" spans="1:9" ht="12.75" customHeight="1">
      <c r="A185" s="141"/>
      <c r="B185" s="138"/>
      <c r="C185" s="142"/>
      <c r="D185" s="584"/>
      <c r="E185" s="142"/>
      <c r="F185" s="585"/>
      <c r="G185" s="138"/>
      <c r="H185" s="586"/>
      <c r="I185" s="15"/>
    </row>
    <row r="186" spans="1:9" ht="12.75" customHeight="1">
      <c r="A186" s="141"/>
      <c r="B186" s="138"/>
      <c r="C186" s="142"/>
      <c r="D186" s="584"/>
      <c r="E186" s="142"/>
      <c r="F186" s="585"/>
      <c r="G186" s="138"/>
      <c r="H186" s="586"/>
      <c r="I186" s="15"/>
    </row>
    <row r="187" spans="1:9" ht="12.75" customHeight="1">
      <c r="A187" s="141"/>
      <c r="B187" s="138"/>
      <c r="C187" s="142"/>
      <c r="D187" s="584"/>
      <c r="E187" s="142"/>
      <c r="F187" s="585"/>
      <c r="G187" s="138"/>
      <c r="H187" s="586"/>
      <c r="I187" s="15"/>
    </row>
    <row r="188" spans="1:9" ht="12.75" customHeight="1">
      <c r="A188" s="141"/>
      <c r="B188" s="138"/>
      <c r="C188" s="142"/>
      <c r="D188" s="584"/>
      <c r="E188" s="142"/>
      <c r="F188" s="585"/>
      <c r="G188" s="138"/>
      <c r="H188" s="586"/>
      <c r="I188" s="15"/>
    </row>
    <row r="189" spans="1:9" ht="12.75" customHeight="1">
      <c r="A189" s="141"/>
      <c r="B189" s="138"/>
      <c r="C189" s="142"/>
      <c r="D189" s="584"/>
      <c r="E189" s="142"/>
      <c r="F189" s="585"/>
      <c r="G189" s="138"/>
      <c r="H189" s="586"/>
      <c r="I189" s="15"/>
    </row>
    <row r="190" spans="1:9" ht="12.75" customHeight="1">
      <c r="A190" s="141"/>
      <c r="B190" s="138"/>
      <c r="C190" s="142"/>
      <c r="D190" s="584"/>
      <c r="E190" s="142"/>
      <c r="F190" s="585"/>
      <c r="G190" s="138"/>
      <c r="H190" s="586"/>
      <c r="I190" s="15"/>
    </row>
    <row r="191" spans="1:9" ht="12.75" customHeight="1">
      <c r="A191" s="141"/>
      <c r="B191" s="138"/>
      <c r="C191" s="142"/>
      <c r="D191" s="584"/>
      <c r="E191" s="142"/>
      <c r="F191" s="585"/>
      <c r="G191" s="138"/>
      <c r="H191" s="586"/>
      <c r="I191" s="15"/>
    </row>
    <row r="192" spans="1:9" ht="12.75" customHeight="1">
      <c r="A192" s="141"/>
      <c r="B192" s="138"/>
      <c r="C192" s="142"/>
      <c r="D192" s="584"/>
      <c r="E192" s="142"/>
      <c r="F192" s="585"/>
      <c r="G192" s="138"/>
      <c r="H192" s="586"/>
      <c r="I192" s="15"/>
    </row>
    <row r="193" spans="1:9" ht="12.75" customHeight="1">
      <c r="A193" s="141"/>
      <c r="B193" s="138"/>
      <c r="C193" s="587"/>
      <c r="D193" s="588"/>
      <c r="E193" s="587"/>
      <c r="F193" s="589"/>
      <c r="G193" s="138"/>
      <c r="H193" s="586"/>
      <c r="I193" s="15"/>
    </row>
    <row r="194" spans="1:9" ht="12.75" customHeight="1">
      <c r="A194" s="143"/>
      <c r="B194" s="144"/>
      <c r="C194" s="145"/>
      <c r="D194" s="590"/>
      <c r="E194" s="145"/>
      <c r="F194" s="591"/>
      <c r="G194" s="138"/>
      <c r="H194" s="586"/>
      <c r="I194" s="15"/>
    </row>
    <row r="195" spans="1:9" ht="12.75" customHeight="1">
      <c r="A195" s="146"/>
      <c r="B195" s="144"/>
      <c r="C195" s="145"/>
      <c r="D195" s="590"/>
      <c r="E195" s="145"/>
      <c r="F195" s="591"/>
      <c r="G195" s="138"/>
      <c r="H195" s="586"/>
      <c r="I195" s="15"/>
    </row>
    <row r="196" spans="1:9" ht="12.75" customHeight="1">
      <c r="A196" s="146"/>
      <c r="B196" s="144"/>
      <c r="C196" s="145"/>
      <c r="D196" s="590"/>
      <c r="E196" s="145"/>
      <c r="F196" s="592"/>
      <c r="G196" s="138"/>
      <c r="H196" s="586"/>
      <c r="I196" s="15"/>
    </row>
    <row r="197" spans="1:9" ht="12.75" customHeight="1">
      <c r="A197" s="143"/>
      <c r="B197" s="144"/>
      <c r="C197" s="593"/>
      <c r="D197" s="594"/>
      <c r="E197" s="595"/>
      <c r="F197" s="596"/>
      <c r="G197" s="138"/>
      <c r="H197" s="586"/>
      <c r="I197" s="15"/>
    </row>
    <row r="198" spans="1:9" ht="12.75" customHeight="1">
      <c r="A198" s="143"/>
      <c r="B198" s="144"/>
      <c r="C198" s="147"/>
      <c r="D198" s="597"/>
      <c r="E198" s="147"/>
      <c r="F198" s="598"/>
      <c r="G198" s="138"/>
      <c r="H198" s="586"/>
      <c r="I198" s="15"/>
    </row>
    <row r="199" spans="1:9" ht="12.75" customHeight="1">
      <c r="A199" s="143"/>
      <c r="B199" s="144"/>
      <c r="C199" s="147"/>
      <c r="D199" s="597"/>
      <c r="E199" s="145"/>
      <c r="F199" s="599"/>
      <c r="G199" s="138"/>
      <c r="H199" s="586"/>
      <c r="I199" s="15"/>
    </row>
    <row r="200" spans="1:9" ht="12.75" customHeight="1">
      <c r="A200" s="143"/>
      <c r="B200" s="144"/>
      <c r="C200" s="145"/>
      <c r="D200" s="590"/>
      <c r="E200" s="145"/>
      <c r="F200" s="599"/>
      <c r="G200" s="138"/>
      <c r="H200" s="586"/>
      <c r="I200" s="15"/>
    </row>
    <row r="201" spans="1:9" ht="12.75" customHeight="1">
      <c r="A201" s="143"/>
      <c r="B201" s="144"/>
      <c r="C201" s="145"/>
      <c r="D201" s="590"/>
      <c r="E201" s="145"/>
      <c r="F201" s="599"/>
      <c r="G201" s="138"/>
      <c r="H201" s="586"/>
      <c r="I201" s="15"/>
    </row>
    <row r="202" spans="1:9" ht="12.75" customHeight="1">
      <c r="A202" s="146"/>
      <c r="B202" s="144"/>
      <c r="C202" s="145"/>
      <c r="D202" s="590"/>
      <c r="E202" s="145"/>
      <c r="F202" s="592"/>
      <c r="G202" s="138"/>
      <c r="H202" s="586"/>
      <c r="I202" s="15"/>
    </row>
    <row r="203" spans="1:9" ht="12.75" customHeight="1">
      <c r="A203" s="143"/>
      <c r="B203" s="144"/>
      <c r="C203" s="147"/>
      <c r="D203" s="597"/>
      <c r="E203" s="147"/>
      <c r="F203" s="600"/>
      <c r="G203" s="138"/>
      <c r="H203" s="586"/>
      <c r="I203" s="15"/>
    </row>
    <row r="204" spans="1:9" ht="12.75" customHeight="1">
      <c r="A204" s="143"/>
      <c r="B204" s="144"/>
      <c r="C204" s="145"/>
      <c r="D204" s="590"/>
      <c r="E204" s="145"/>
      <c r="F204" s="592"/>
      <c r="G204" s="138"/>
      <c r="H204" s="586"/>
      <c r="I204" s="15"/>
    </row>
    <row r="205" spans="1:9" ht="12.75" customHeight="1">
      <c r="A205" s="143"/>
      <c r="B205" s="144"/>
      <c r="C205" s="145"/>
      <c r="D205" s="590"/>
      <c r="E205" s="145"/>
      <c r="F205" s="592"/>
      <c r="G205" s="138"/>
      <c r="H205" s="586"/>
      <c r="I205" s="15"/>
    </row>
    <row r="206" spans="1:9" ht="12.75" customHeight="1">
      <c r="A206" s="143"/>
      <c r="B206" s="144"/>
      <c r="C206" s="145"/>
      <c r="D206" s="590"/>
      <c r="E206" s="145"/>
      <c r="F206" s="592"/>
      <c r="G206" s="138"/>
      <c r="H206" s="586"/>
      <c r="I206" s="15"/>
    </row>
    <row r="207" spans="1:9" ht="12.75" customHeight="1">
      <c r="A207" s="146"/>
      <c r="B207" s="144"/>
      <c r="C207" s="145"/>
      <c r="D207" s="590"/>
      <c r="E207" s="145"/>
      <c r="F207" s="591"/>
      <c r="G207" s="138"/>
      <c r="H207" s="586"/>
      <c r="I207" s="15"/>
    </row>
    <row r="208" spans="1:9" ht="12.75" customHeight="1">
      <c r="A208" s="143"/>
      <c r="B208" s="144"/>
      <c r="C208" s="593"/>
      <c r="D208" s="594"/>
      <c r="E208" s="142"/>
      <c r="F208" s="596"/>
      <c r="G208" s="138"/>
      <c r="H208" s="586"/>
      <c r="I208" s="15"/>
    </row>
    <row r="209" spans="1:9" ht="12.75" customHeight="1">
      <c r="A209" s="143"/>
      <c r="B209" s="144"/>
      <c r="C209" s="147"/>
      <c r="D209" s="597"/>
      <c r="E209" s="145"/>
      <c r="F209" s="592"/>
      <c r="G209" s="138"/>
      <c r="H209" s="586"/>
      <c r="I209" s="15"/>
    </row>
    <row r="210" spans="1:9" ht="12.75" customHeight="1">
      <c r="A210" s="143"/>
      <c r="B210" s="144"/>
      <c r="C210" s="145"/>
      <c r="D210" s="590"/>
      <c r="E210" s="145"/>
      <c r="F210" s="592"/>
      <c r="G210" s="138"/>
      <c r="H210" s="586"/>
      <c r="I210" s="15"/>
    </row>
    <row r="211" spans="1:9" ht="12.75" customHeight="1">
      <c r="A211" s="143"/>
      <c r="B211" s="144"/>
      <c r="C211" s="145"/>
      <c r="D211" s="590"/>
      <c r="E211" s="145"/>
      <c r="F211" s="592"/>
      <c r="G211" s="138"/>
      <c r="H211" s="586"/>
      <c r="I211" s="15"/>
    </row>
    <row r="212" spans="1:9" ht="12.75" customHeight="1">
      <c r="A212" s="143"/>
      <c r="B212" s="144"/>
      <c r="C212" s="145"/>
      <c r="D212" s="590"/>
      <c r="E212" s="601"/>
      <c r="F212" s="591"/>
      <c r="G212" s="145"/>
      <c r="H212" s="586"/>
      <c r="I212" s="15"/>
    </row>
    <row r="213" spans="1:10" ht="12.75" customHeight="1">
      <c r="A213" s="602"/>
      <c r="B213" s="603"/>
      <c r="C213" s="604"/>
      <c r="D213" s="605"/>
      <c r="E213" s="604"/>
      <c r="F213" s="606"/>
      <c r="G213" s="607"/>
      <c r="H213" s="608"/>
      <c r="I213" s="15"/>
      <c r="J213" s="552"/>
    </row>
    <row r="214" spans="1:10" ht="12.75" customHeight="1">
      <c r="A214" s="143"/>
      <c r="B214" s="609"/>
      <c r="C214" s="610"/>
      <c r="D214" s="597"/>
      <c r="E214" s="609"/>
      <c r="F214" s="610"/>
      <c r="G214" s="597"/>
      <c r="H214" s="597"/>
      <c r="I214" s="15"/>
      <c r="J214" s="552"/>
    </row>
    <row r="215" spans="1:10" ht="12.75" customHeight="1">
      <c r="A215" s="143"/>
      <c r="B215" s="611"/>
      <c r="C215" s="612"/>
      <c r="D215" s="590"/>
      <c r="E215" s="611"/>
      <c r="F215" s="613"/>
      <c r="G215" s="614"/>
      <c r="H215" s="615"/>
      <c r="I215" s="15"/>
      <c r="J215" s="552"/>
    </row>
    <row r="216" spans="1:9" ht="12.75" customHeight="1">
      <c r="A216" s="143"/>
      <c r="B216" s="611"/>
      <c r="C216" s="612"/>
      <c r="D216" s="590"/>
      <c r="E216" s="611"/>
      <c r="F216" s="613"/>
      <c r="G216" s="614"/>
      <c r="H216" s="615"/>
      <c r="I216" s="15"/>
    </row>
    <row r="217" spans="1:9" ht="12.75" customHeight="1">
      <c r="A217" s="143"/>
      <c r="B217" s="616"/>
      <c r="C217" s="145"/>
      <c r="D217" s="590"/>
      <c r="E217" s="616"/>
      <c r="F217" s="617"/>
      <c r="G217" s="591"/>
      <c r="H217" s="618"/>
      <c r="I217" s="15"/>
    </row>
    <row r="218" spans="1:9" ht="12.75" customHeight="1">
      <c r="A218" s="395"/>
      <c r="B218" s="396"/>
      <c r="C218" s="397"/>
      <c r="D218" s="398"/>
      <c r="E218" s="399"/>
      <c r="F218" s="400"/>
      <c r="G218" s="444"/>
      <c r="H218" s="396"/>
      <c r="I218" s="15"/>
    </row>
    <row r="219" spans="1:9" ht="12.75" customHeight="1">
      <c r="A219" s="395"/>
      <c r="B219" s="396"/>
      <c r="C219" s="397"/>
      <c r="D219" s="398"/>
      <c r="E219" s="399"/>
      <c r="F219" s="400"/>
      <c r="G219" s="444"/>
      <c r="H219" s="396"/>
      <c r="I219" s="15"/>
    </row>
    <row r="220" spans="1:9" ht="12.75" customHeight="1">
      <c r="A220" s="395"/>
      <c r="B220" s="396"/>
      <c r="C220" s="397"/>
      <c r="D220" s="398"/>
      <c r="E220" s="399"/>
      <c r="F220" s="400"/>
      <c r="G220" s="444"/>
      <c r="H220" s="396"/>
      <c r="I220" s="15"/>
    </row>
    <row r="221" spans="1:9" ht="12.75" customHeight="1">
      <c r="A221" s="395"/>
      <c r="B221" s="396"/>
      <c r="C221" s="397"/>
      <c r="D221" s="398"/>
      <c r="E221" s="399"/>
      <c r="F221" s="400"/>
      <c r="G221" s="444"/>
      <c r="H221" s="396"/>
      <c r="I221" s="15"/>
    </row>
    <row r="222" spans="1:9" ht="12.75" customHeight="1">
      <c r="A222" s="395"/>
      <c r="B222" s="396"/>
      <c r="C222" s="397"/>
      <c r="D222" s="398"/>
      <c r="E222" s="399"/>
      <c r="F222" s="400"/>
      <c r="G222" s="444"/>
      <c r="H222" s="396"/>
      <c r="I222" s="15"/>
    </row>
    <row r="223" spans="1:9" ht="12.75" customHeight="1">
      <c r="A223" s="395"/>
      <c r="B223" s="396"/>
      <c r="C223" s="397"/>
      <c r="D223" s="398"/>
      <c r="E223" s="399"/>
      <c r="F223" s="400"/>
      <c r="G223" s="444"/>
      <c r="H223" s="396"/>
      <c r="I223" s="15"/>
    </row>
    <row r="224" spans="1:9" ht="12.75" customHeight="1">
      <c r="A224" s="395"/>
      <c r="B224" s="396"/>
      <c r="C224" s="397"/>
      <c r="D224" s="398"/>
      <c r="E224" s="399"/>
      <c r="F224" s="400"/>
      <c r="G224" s="444"/>
      <c r="H224" s="396"/>
      <c r="I224" s="15"/>
    </row>
    <row r="225" spans="1:9" ht="12.75" customHeight="1">
      <c r="A225" s="395"/>
      <c r="B225" s="396"/>
      <c r="C225" s="397"/>
      <c r="D225" s="398"/>
      <c r="E225" s="399"/>
      <c r="F225" s="400"/>
      <c r="G225" s="444"/>
      <c r="H225" s="396"/>
      <c r="I225" s="15"/>
    </row>
    <row r="226" spans="1:9" ht="12.75" customHeight="1">
      <c r="A226" s="395"/>
      <c r="B226" s="396"/>
      <c r="C226" s="397"/>
      <c r="D226" s="398"/>
      <c r="E226" s="399"/>
      <c r="F226" s="400"/>
      <c r="G226" s="444"/>
      <c r="H226" s="396"/>
      <c r="I226" s="15"/>
    </row>
    <row r="227" spans="1:9" ht="12.75" customHeight="1">
      <c r="A227" s="395"/>
      <c r="B227" s="396"/>
      <c r="C227" s="397"/>
      <c r="D227" s="398"/>
      <c r="E227" s="399"/>
      <c r="F227" s="400"/>
      <c r="G227" s="444"/>
      <c r="H227" s="396"/>
      <c r="I227" s="15"/>
    </row>
    <row r="228" spans="1:9" ht="12.75" customHeight="1">
      <c r="A228" s="395"/>
      <c r="B228" s="396"/>
      <c r="C228" s="397"/>
      <c r="D228" s="398"/>
      <c r="E228" s="399"/>
      <c r="F228" s="400"/>
      <c r="G228" s="444"/>
      <c r="H228" s="396"/>
      <c r="I228" s="15"/>
    </row>
    <row r="229" spans="1:9" ht="12.75" customHeight="1">
      <c r="A229" s="395"/>
      <c r="B229" s="396"/>
      <c r="C229" s="397"/>
      <c r="D229" s="398"/>
      <c r="E229" s="399"/>
      <c r="F229" s="400"/>
      <c r="G229" s="444"/>
      <c r="H229" s="396"/>
      <c r="I229" s="15"/>
    </row>
    <row r="230" spans="1:9" ht="12.75" customHeight="1">
      <c r="A230" s="395"/>
      <c r="B230" s="396"/>
      <c r="C230" s="397"/>
      <c r="D230" s="398"/>
      <c r="E230" s="399"/>
      <c r="F230" s="400"/>
      <c r="G230" s="444"/>
      <c r="H230" s="396"/>
      <c r="I230" s="15"/>
    </row>
    <row r="231" spans="1:9" ht="12.75" customHeight="1">
      <c r="A231" s="395"/>
      <c r="B231" s="396"/>
      <c r="C231" s="397"/>
      <c r="D231" s="398"/>
      <c r="E231" s="399"/>
      <c r="F231" s="400"/>
      <c r="G231" s="444"/>
      <c r="H231" s="396"/>
      <c r="I231" s="15"/>
    </row>
    <row r="232" spans="1:9" ht="12.75" customHeight="1">
      <c r="A232" s="395"/>
      <c r="B232" s="396"/>
      <c r="C232" s="397"/>
      <c r="D232" s="398"/>
      <c r="E232" s="399"/>
      <c r="F232" s="400"/>
      <c r="G232" s="444"/>
      <c r="H232" s="396"/>
      <c r="I232" s="15"/>
    </row>
    <row r="233" spans="1:9" ht="12.75" customHeight="1">
      <c r="A233" s="395"/>
      <c r="B233" s="396"/>
      <c r="C233" s="397"/>
      <c r="D233" s="398"/>
      <c r="E233" s="399"/>
      <c r="F233" s="400"/>
      <c r="G233" s="444"/>
      <c r="H233" s="396"/>
      <c r="I233" s="15"/>
    </row>
    <row r="234" spans="1:9" ht="12.75" customHeight="1">
      <c r="A234" s="395"/>
      <c r="B234" s="396"/>
      <c r="C234" s="397"/>
      <c r="D234" s="398"/>
      <c r="E234" s="399"/>
      <c r="F234" s="400"/>
      <c r="G234" s="444"/>
      <c r="H234" s="396"/>
      <c r="I234" s="15"/>
    </row>
    <row r="235" spans="1:9" ht="12.75" customHeight="1">
      <c r="A235" s="395"/>
      <c r="B235" s="396"/>
      <c r="C235" s="397"/>
      <c r="D235" s="398"/>
      <c r="E235" s="399"/>
      <c r="F235" s="400"/>
      <c r="G235" s="444"/>
      <c r="H235" s="396"/>
      <c r="I235" s="15"/>
    </row>
    <row r="236" spans="1:9" ht="12.75" customHeight="1">
      <c r="A236" s="395"/>
      <c r="B236" s="396"/>
      <c r="C236" s="397"/>
      <c r="D236" s="398"/>
      <c r="E236" s="399"/>
      <c r="F236" s="400"/>
      <c r="G236" s="444"/>
      <c r="H236" s="396"/>
      <c r="I236" s="15"/>
    </row>
    <row r="237" spans="1:9" ht="12.75" customHeight="1">
      <c r="A237" s="395"/>
      <c r="B237" s="396"/>
      <c r="C237" s="397"/>
      <c r="D237" s="398"/>
      <c r="E237" s="399"/>
      <c r="F237" s="400"/>
      <c r="G237" s="444"/>
      <c r="H237" s="396"/>
      <c r="I237" s="15"/>
    </row>
    <row r="238" spans="1:9" ht="12.75" customHeight="1">
      <c r="A238" s="395"/>
      <c r="B238" s="396"/>
      <c r="C238" s="397"/>
      <c r="D238" s="398"/>
      <c r="E238" s="399"/>
      <c r="F238" s="400"/>
      <c r="G238" s="444"/>
      <c r="H238" s="396"/>
      <c r="I238" s="15"/>
    </row>
    <row r="239" spans="1:9" ht="12.75" customHeight="1">
      <c r="A239" s="395"/>
      <c r="B239" s="396"/>
      <c r="C239" s="397"/>
      <c r="D239" s="398"/>
      <c r="E239" s="399"/>
      <c r="F239" s="400"/>
      <c r="G239" s="444"/>
      <c r="H239" s="396"/>
      <c r="I239" s="15"/>
    </row>
    <row r="240" spans="1:9" ht="12.75" customHeight="1">
      <c r="A240" s="395"/>
      <c r="B240" s="396"/>
      <c r="C240" s="397"/>
      <c r="D240" s="398"/>
      <c r="E240" s="399"/>
      <c r="F240" s="400"/>
      <c r="G240" s="444"/>
      <c r="H240" s="396"/>
      <c r="I240" s="15"/>
    </row>
    <row r="241" spans="1:9" ht="12.75" customHeight="1">
      <c r="A241" s="395"/>
      <c r="B241" s="396"/>
      <c r="C241" s="397"/>
      <c r="D241" s="398"/>
      <c r="E241" s="399"/>
      <c r="F241" s="400"/>
      <c r="G241" s="444"/>
      <c r="H241" s="396"/>
      <c r="I241" s="15"/>
    </row>
    <row r="242" spans="1:9" ht="12.75" customHeight="1">
      <c r="A242" s="395"/>
      <c r="B242" s="396"/>
      <c r="C242" s="397"/>
      <c r="D242" s="398"/>
      <c r="E242" s="399"/>
      <c r="F242" s="400"/>
      <c r="G242" s="444"/>
      <c r="H242" s="396"/>
      <c r="I242" s="15"/>
    </row>
    <row r="243" spans="1:9" ht="12.75" customHeight="1">
      <c r="A243" s="395"/>
      <c r="B243" s="396"/>
      <c r="C243" s="397"/>
      <c r="D243" s="398"/>
      <c r="E243" s="399"/>
      <c r="F243" s="400"/>
      <c r="G243" s="444"/>
      <c r="H243" s="396"/>
      <c r="I243" s="15"/>
    </row>
    <row r="244" spans="1:9" ht="12.75" customHeight="1">
      <c r="A244" s="395"/>
      <c r="B244" s="396"/>
      <c r="C244" s="397"/>
      <c r="D244" s="398"/>
      <c r="E244" s="399"/>
      <c r="F244" s="400"/>
      <c r="G244" s="444"/>
      <c r="H244" s="396"/>
      <c r="I244" s="15"/>
    </row>
    <row r="245" spans="1:9" ht="12.75" customHeight="1">
      <c r="A245" s="395"/>
      <c r="B245" s="396"/>
      <c r="C245" s="397"/>
      <c r="D245" s="398"/>
      <c r="E245" s="399"/>
      <c r="F245" s="400"/>
      <c r="G245" s="444"/>
      <c r="H245" s="396"/>
      <c r="I245" s="15"/>
    </row>
    <row r="246" spans="1:9" ht="12.75" customHeight="1">
      <c r="A246" s="395"/>
      <c r="B246" s="396"/>
      <c r="C246" s="397"/>
      <c r="D246" s="398"/>
      <c r="E246" s="399"/>
      <c r="F246" s="400"/>
      <c r="G246" s="444"/>
      <c r="H246" s="396"/>
      <c r="I246" s="15"/>
    </row>
    <row r="247" spans="1:9" ht="12.75" customHeight="1">
      <c r="A247" s="395"/>
      <c r="B247" s="396"/>
      <c r="C247" s="397"/>
      <c r="D247" s="398"/>
      <c r="E247" s="399"/>
      <c r="F247" s="400"/>
      <c r="G247" s="444"/>
      <c r="H247" s="396"/>
      <c r="I247" s="15"/>
    </row>
    <row r="248" spans="1:9" ht="12.75" customHeight="1">
      <c r="A248" s="395"/>
      <c r="B248" s="396"/>
      <c r="C248" s="397"/>
      <c r="D248" s="398"/>
      <c r="E248" s="399"/>
      <c r="F248" s="400"/>
      <c r="G248" s="444"/>
      <c r="H248" s="396"/>
      <c r="I248" s="15"/>
    </row>
    <row r="249" spans="1:9" ht="12.75" customHeight="1">
      <c r="A249" s="395"/>
      <c r="B249" s="396"/>
      <c r="C249" s="397"/>
      <c r="D249" s="398"/>
      <c r="E249" s="399"/>
      <c r="F249" s="400"/>
      <c r="G249" s="444"/>
      <c r="H249" s="396"/>
      <c r="I249" s="15"/>
    </row>
    <row r="250" spans="1:9" ht="12.75" customHeight="1">
      <c r="A250" s="395"/>
      <c r="B250" s="396"/>
      <c r="C250" s="397"/>
      <c r="D250" s="398"/>
      <c r="E250" s="399"/>
      <c r="F250" s="400"/>
      <c r="G250" s="444"/>
      <c r="H250" s="396"/>
      <c r="I250" s="15"/>
    </row>
    <row r="251" spans="1:9" ht="12.75" customHeight="1">
      <c r="A251" s="395"/>
      <c r="B251" s="396"/>
      <c r="C251" s="397"/>
      <c r="D251" s="398"/>
      <c r="E251" s="399"/>
      <c r="F251" s="400"/>
      <c r="G251" s="444"/>
      <c r="H251" s="396"/>
      <c r="I251" s="15"/>
    </row>
    <row r="252" spans="1:9" ht="12.75" customHeight="1">
      <c r="A252" s="395"/>
      <c r="B252" s="396"/>
      <c r="C252" s="397"/>
      <c r="D252" s="398"/>
      <c r="E252" s="399"/>
      <c r="F252" s="400"/>
      <c r="G252" s="444"/>
      <c r="H252" s="396"/>
      <c r="I252" s="15"/>
    </row>
    <row r="253" spans="1:9" ht="12.75" customHeight="1">
      <c r="A253" s="395"/>
      <c r="B253" s="396"/>
      <c r="C253" s="397"/>
      <c r="D253" s="398"/>
      <c r="E253" s="399"/>
      <c r="F253" s="400"/>
      <c r="G253" s="444"/>
      <c r="H253" s="396"/>
      <c r="I253" s="15"/>
    </row>
    <row r="254" spans="1:9" ht="12.75" customHeight="1">
      <c r="A254" s="395"/>
      <c r="B254" s="396"/>
      <c r="C254" s="397"/>
      <c r="D254" s="398"/>
      <c r="E254" s="399"/>
      <c r="F254" s="400"/>
      <c r="G254" s="444"/>
      <c r="H254" s="396"/>
      <c r="I254" s="15"/>
    </row>
    <row r="255" spans="1:9" ht="12.75" customHeight="1">
      <c r="A255" s="395"/>
      <c r="B255" s="396"/>
      <c r="C255" s="397"/>
      <c r="D255" s="398"/>
      <c r="E255" s="399"/>
      <c r="F255" s="400"/>
      <c r="G255" s="444"/>
      <c r="H255" s="396"/>
      <c r="I255" s="15"/>
    </row>
    <row r="256" spans="1:9" ht="12.75" customHeight="1">
      <c r="A256" s="395"/>
      <c r="B256" s="396"/>
      <c r="C256" s="397"/>
      <c r="D256" s="398"/>
      <c r="E256" s="399"/>
      <c r="F256" s="400"/>
      <c r="G256" s="444"/>
      <c r="H256" s="396"/>
      <c r="I256" s="15"/>
    </row>
    <row r="257" spans="1:9" ht="12.75" customHeight="1">
      <c r="A257" s="395"/>
      <c r="B257" s="396"/>
      <c r="C257" s="397"/>
      <c r="D257" s="398"/>
      <c r="E257" s="399"/>
      <c r="F257" s="400"/>
      <c r="G257" s="444"/>
      <c r="H257" s="396"/>
      <c r="I257" s="15"/>
    </row>
    <row r="258" spans="1:9" ht="12.75" customHeight="1">
      <c r="A258" s="395"/>
      <c r="B258" s="396"/>
      <c r="C258" s="397"/>
      <c r="D258" s="398"/>
      <c r="E258" s="397"/>
      <c r="F258" s="400"/>
      <c r="G258" s="444"/>
      <c r="H258" s="396"/>
      <c r="I258" s="15"/>
    </row>
    <row r="259" spans="1:9" ht="12.75" customHeight="1">
      <c r="A259" s="395"/>
      <c r="B259" s="406"/>
      <c r="C259" s="397"/>
      <c r="D259" s="398"/>
      <c r="E259" s="399"/>
      <c r="F259" s="400"/>
      <c r="G259" s="444"/>
      <c r="H259" s="396"/>
      <c r="I259" s="15"/>
    </row>
    <row r="260" spans="1:9" ht="12.75" customHeight="1">
      <c r="A260" s="395"/>
      <c r="B260" s="406"/>
      <c r="C260" s="407"/>
      <c r="D260" s="408"/>
      <c r="E260" s="409"/>
      <c r="F260" s="394"/>
      <c r="G260" s="444"/>
      <c r="H260" s="396"/>
      <c r="I260" s="15"/>
    </row>
    <row r="261" spans="1:9" ht="12.75" customHeight="1">
      <c r="A261" s="395"/>
      <c r="B261" s="406"/>
      <c r="C261" s="407"/>
      <c r="D261" s="408"/>
      <c r="E261" s="409"/>
      <c r="F261" s="394"/>
      <c r="G261" s="444"/>
      <c r="H261" s="396"/>
      <c r="I261" s="15"/>
    </row>
    <row r="262" spans="1:9" ht="12.75" customHeight="1">
      <c r="A262" s="405"/>
      <c r="B262" s="406"/>
      <c r="C262" s="407"/>
      <c r="D262" s="408"/>
      <c r="E262" s="409"/>
      <c r="F262" s="394"/>
      <c r="G262" s="444"/>
      <c r="H262" s="396"/>
      <c r="I262" s="15"/>
    </row>
    <row r="263" spans="1:9" ht="12.75" customHeight="1">
      <c r="A263" s="405"/>
      <c r="B263" s="406"/>
      <c r="C263" s="407"/>
      <c r="D263" s="408"/>
      <c r="E263" s="409"/>
      <c r="F263" s="394"/>
      <c r="G263" s="444"/>
      <c r="H263" s="396"/>
      <c r="I263" s="15"/>
    </row>
    <row r="264" spans="1:9" ht="12.75" customHeight="1">
      <c r="A264" s="395"/>
      <c r="B264" s="396"/>
      <c r="C264" s="397"/>
      <c r="D264" s="398"/>
      <c r="E264" s="399"/>
      <c r="F264" s="400"/>
      <c r="G264" s="444"/>
      <c r="H264" s="396"/>
      <c r="I264" s="15"/>
    </row>
    <row r="265" spans="1:9" ht="12.75" customHeight="1">
      <c r="A265" s="395"/>
      <c r="B265" s="396"/>
      <c r="C265" s="397"/>
      <c r="D265" s="398"/>
      <c r="E265" s="399"/>
      <c r="F265" s="400"/>
      <c r="G265" s="444"/>
      <c r="H265" s="396"/>
      <c r="I265" s="15"/>
    </row>
    <row r="266" spans="1:9" ht="12.75" customHeight="1">
      <c r="A266" s="395"/>
      <c r="B266" s="406"/>
      <c r="C266" s="397"/>
      <c r="D266" s="398"/>
      <c r="E266" s="409"/>
      <c r="F266" s="394"/>
      <c r="G266" s="444"/>
      <c r="H266" s="396"/>
      <c r="I266" s="15"/>
    </row>
    <row r="267" spans="1:9" ht="12.75" customHeight="1">
      <c r="A267" s="395"/>
      <c r="B267" s="406"/>
      <c r="C267" s="407"/>
      <c r="D267" s="408"/>
      <c r="E267" s="409"/>
      <c r="F267" s="394"/>
      <c r="G267" s="444"/>
      <c r="H267" s="396"/>
      <c r="I267" s="15"/>
    </row>
    <row r="268" spans="1:9" ht="12.75" customHeight="1">
      <c r="A268" s="405"/>
      <c r="B268" s="396"/>
      <c r="C268" s="401"/>
      <c r="D268" s="402"/>
      <c r="E268" s="403"/>
      <c r="F268" s="404"/>
      <c r="G268" s="444"/>
      <c r="H268" s="396"/>
      <c r="I268" s="15"/>
    </row>
    <row r="269" spans="1:9" ht="12.75" customHeight="1">
      <c r="A269" s="405"/>
      <c r="B269" s="406"/>
      <c r="C269" s="407"/>
      <c r="D269" s="408"/>
      <c r="E269" s="409"/>
      <c r="F269" s="394"/>
      <c r="G269" s="444"/>
      <c r="H269" s="396"/>
      <c r="I269" s="15"/>
    </row>
    <row r="270" spans="1:9" ht="12.75" customHeight="1">
      <c r="A270" s="395"/>
      <c r="B270" s="406"/>
      <c r="C270" s="397"/>
      <c r="D270" s="398"/>
      <c r="E270" s="399"/>
      <c r="F270" s="400"/>
      <c r="G270" s="444"/>
      <c r="H270" s="399"/>
      <c r="I270" s="15"/>
    </row>
    <row r="271" spans="1:9" ht="12.75" customHeight="1">
      <c r="A271" s="395"/>
      <c r="B271" s="441"/>
      <c r="C271" s="399"/>
      <c r="D271" s="400"/>
      <c r="E271" s="403"/>
      <c r="F271" s="404"/>
      <c r="G271" s="414"/>
      <c r="H271" s="399"/>
      <c r="I271" s="15"/>
    </row>
    <row r="272" spans="1:9" ht="12.75" customHeight="1">
      <c r="A272" s="395"/>
      <c r="B272" s="441"/>
      <c r="C272" s="409"/>
      <c r="D272" s="394"/>
      <c r="E272" s="409"/>
      <c r="F272" s="394"/>
      <c r="G272" s="414"/>
      <c r="H272" s="399"/>
      <c r="I272" s="15"/>
    </row>
    <row r="273" spans="1:9" ht="12.75" customHeight="1">
      <c r="A273" s="405"/>
      <c r="B273" s="441"/>
      <c r="C273" s="409"/>
      <c r="D273" s="394"/>
      <c r="E273" s="451"/>
      <c r="F273" s="425"/>
      <c r="G273" s="396"/>
      <c r="H273" s="414"/>
      <c r="I273" s="15"/>
    </row>
    <row r="274" spans="1:9" ht="12.75" customHeight="1">
      <c r="A274" s="405"/>
      <c r="B274" s="441"/>
      <c r="C274" s="409"/>
      <c r="D274" s="394"/>
      <c r="E274" s="424"/>
      <c r="F274" s="425"/>
      <c r="G274" s="414"/>
      <c r="H274" s="399"/>
      <c r="I274" s="15"/>
    </row>
    <row r="275" spans="1:9" ht="12.75" customHeight="1">
      <c r="A275" s="454"/>
      <c r="B275" s="481"/>
      <c r="C275" s="482"/>
      <c r="D275" s="483"/>
      <c r="E275" s="484"/>
      <c r="F275" s="485"/>
      <c r="G275" s="445"/>
      <c r="H275" s="442"/>
      <c r="I275" s="15"/>
    </row>
    <row r="276" spans="1:9" ht="12.75" customHeight="1">
      <c r="A276" s="454"/>
      <c r="B276" s="443"/>
      <c r="C276" s="482"/>
      <c r="D276" s="483"/>
      <c r="E276" s="452"/>
      <c r="F276" s="453"/>
      <c r="G276" s="446"/>
      <c r="H276" s="447"/>
      <c r="I276" s="15"/>
    </row>
    <row r="277" spans="1:9" ht="12.75" customHeight="1">
      <c r="A277" s="395"/>
      <c r="B277" s="442"/>
      <c r="C277" s="403"/>
      <c r="D277" s="404"/>
      <c r="E277" s="486"/>
      <c r="F277" s="471"/>
      <c r="G277" s="56"/>
      <c r="H277" s="448"/>
      <c r="I277" s="15"/>
    </row>
    <row r="278" spans="1:9" ht="12.75" customHeight="1">
      <c r="A278" s="434"/>
      <c r="B278" s="455"/>
      <c r="C278" s="456"/>
      <c r="D278" s="457"/>
      <c r="E278" s="455"/>
      <c r="F278" s="487"/>
      <c r="G278" s="457"/>
      <c r="H278" s="458"/>
      <c r="I278" s="15"/>
    </row>
    <row r="279" spans="1:9" ht="12.75" customHeight="1">
      <c r="A279" s="434"/>
      <c r="B279" s="462"/>
      <c r="C279" s="492"/>
      <c r="D279" s="460"/>
      <c r="E279" s="493"/>
      <c r="F279" s="461"/>
      <c r="G279" s="449"/>
      <c r="H279" s="450"/>
      <c r="I279" s="15"/>
    </row>
    <row r="280" spans="1:9" ht="12.75" customHeight="1">
      <c r="A280" s="395"/>
      <c r="B280" s="494"/>
      <c r="C280" s="473"/>
      <c r="D280" s="495"/>
      <c r="E280" s="494"/>
      <c r="F280" s="473"/>
      <c r="G280" s="496"/>
      <c r="H280" s="497"/>
      <c r="I280" s="15"/>
    </row>
    <row r="281" spans="1:9" ht="12.75" customHeight="1">
      <c r="A281" s="395"/>
      <c r="B281" s="488"/>
      <c r="C281" s="489"/>
      <c r="D281" s="490"/>
      <c r="E281" s="419"/>
      <c r="F281" s="415"/>
      <c r="G281" s="444"/>
      <c r="H281" s="491"/>
      <c r="I281" s="15"/>
    </row>
    <row r="282" spans="1:9" ht="12.75" customHeight="1">
      <c r="A282" s="395"/>
      <c r="B282" s="406"/>
      <c r="C282" s="463"/>
      <c r="D282" s="408"/>
      <c r="E282" s="409"/>
      <c r="F282" s="424"/>
      <c r="G282" s="459"/>
      <c r="H282" s="472"/>
      <c r="I282" s="15"/>
    </row>
    <row r="283" spans="1:9" ht="12.75" customHeight="1">
      <c r="A283" s="395"/>
      <c r="B283" s="406"/>
      <c r="C283" s="463"/>
      <c r="D283" s="408"/>
      <c r="E283" s="409"/>
      <c r="F283" s="424"/>
      <c r="G283" s="459"/>
      <c r="H283" s="472"/>
      <c r="I283" s="15"/>
    </row>
    <row r="284" spans="1:9" ht="12.75" customHeight="1">
      <c r="A284" s="395"/>
      <c r="B284" s="396"/>
      <c r="C284" s="397"/>
      <c r="D284" s="398"/>
      <c r="E284" s="399"/>
      <c r="F284" s="400"/>
      <c r="G284" s="382"/>
      <c r="H284" s="380"/>
      <c r="I284" s="15"/>
    </row>
    <row r="285" spans="1:9" ht="12.75" customHeight="1">
      <c r="A285" s="395"/>
      <c r="B285" s="396"/>
      <c r="C285" s="397"/>
      <c r="D285" s="398"/>
      <c r="E285" s="399"/>
      <c r="F285" s="400"/>
      <c r="G285" s="382"/>
      <c r="H285" s="380"/>
      <c r="I285" s="15"/>
    </row>
    <row r="286" spans="1:9" ht="12.75" customHeight="1">
      <c r="A286" s="395"/>
      <c r="B286" s="396"/>
      <c r="C286" s="397"/>
      <c r="D286" s="398"/>
      <c r="E286" s="399"/>
      <c r="F286" s="400"/>
      <c r="G286" s="382"/>
      <c r="H286" s="380"/>
      <c r="I286" s="15"/>
    </row>
    <row r="287" spans="1:9" ht="12.75" customHeight="1">
      <c r="A287" s="395"/>
      <c r="B287" s="396"/>
      <c r="C287" s="397"/>
      <c r="D287" s="398"/>
      <c r="E287" s="399"/>
      <c r="F287" s="400"/>
      <c r="G287" s="382"/>
      <c r="H287" s="380"/>
      <c r="I287" s="15"/>
    </row>
    <row r="288" spans="1:9" ht="12.75" customHeight="1">
      <c r="A288" s="395"/>
      <c r="B288" s="396"/>
      <c r="C288" s="397"/>
      <c r="D288" s="398"/>
      <c r="E288" s="399"/>
      <c r="F288" s="400"/>
      <c r="G288" s="382"/>
      <c r="H288" s="380"/>
      <c r="I288" s="15"/>
    </row>
    <row r="289" spans="1:9" ht="12.75" customHeight="1">
      <c r="A289" s="395"/>
      <c r="B289" s="396"/>
      <c r="C289" s="397"/>
      <c r="D289" s="398"/>
      <c r="E289" s="399"/>
      <c r="F289" s="400"/>
      <c r="G289" s="382"/>
      <c r="H289" s="380"/>
      <c r="I289" s="15"/>
    </row>
    <row r="290" spans="1:9" ht="12.75" customHeight="1">
      <c r="A290" s="395"/>
      <c r="B290" s="396"/>
      <c r="C290" s="397"/>
      <c r="D290" s="398"/>
      <c r="E290" s="399"/>
      <c r="F290" s="400"/>
      <c r="G290" s="382"/>
      <c r="H290" s="380"/>
      <c r="I290" s="15"/>
    </row>
    <row r="291" spans="1:9" ht="12.75" customHeight="1">
      <c r="A291" s="395"/>
      <c r="B291" s="396"/>
      <c r="C291" s="397"/>
      <c r="D291" s="398"/>
      <c r="E291" s="399"/>
      <c r="F291" s="400"/>
      <c r="G291" s="382"/>
      <c r="H291" s="380"/>
      <c r="I291" s="15"/>
    </row>
    <row r="292" spans="1:9" ht="12.75" customHeight="1">
      <c r="A292" s="395"/>
      <c r="B292" s="396"/>
      <c r="C292" s="397"/>
      <c r="D292" s="398"/>
      <c r="E292" s="399"/>
      <c r="F292" s="400"/>
      <c r="G292" s="382"/>
      <c r="H292" s="380"/>
      <c r="I292" s="15"/>
    </row>
    <row r="293" spans="1:9" ht="12.75" customHeight="1">
      <c r="A293" s="395"/>
      <c r="B293" s="396"/>
      <c r="C293" s="397"/>
      <c r="D293" s="398"/>
      <c r="E293" s="399"/>
      <c r="F293" s="400"/>
      <c r="G293" s="382"/>
      <c r="H293" s="380"/>
      <c r="I293" s="15"/>
    </row>
    <row r="294" spans="1:9" ht="12.75" customHeight="1">
      <c r="A294" s="395"/>
      <c r="B294" s="396"/>
      <c r="C294" s="397"/>
      <c r="D294" s="398"/>
      <c r="E294" s="399"/>
      <c r="F294" s="400"/>
      <c r="G294" s="382"/>
      <c r="H294" s="380"/>
      <c r="I294" s="15"/>
    </row>
    <row r="295" spans="1:9" ht="12.75" customHeight="1">
      <c r="A295" s="395"/>
      <c r="B295" s="396"/>
      <c r="C295" s="397"/>
      <c r="D295" s="398"/>
      <c r="E295" s="399"/>
      <c r="F295" s="400"/>
      <c r="G295" s="382"/>
      <c r="H295" s="380"/>
      <c r="I295" s="15"/>
    </row>
    <row r="296" spans="1:9" ht="12.75" customHeight="1">
      <c r="A296" s="395"/>
      <c r="B296" s="396"/>
      <c r="C296" s="397"/>
      <c r="D296" s="398"/>
      <c r="E296" s="399"/>
      <c r="F296" s="400"/>
      <c r="G296" s="382"/>
      <c r="H296" s="380"/>
      <c r="I296" s="15"/>
    </row>
    <row r="297" spans="1:9" ht="12.75" customHeight="1">
      <c r="A297" s="395"/>
      <c r="B297" s="396"/>
      <c r="C297" s="397"/>
      <c r="D297" s="398"/>
      <c r="E297" s="399"/>
      <c r="F297" s="400"/>
      <c r="G297" s="382"/>
      <c r="H297" s="380"/>
      <c r="I297" s="15"/>
    </row>
    <row r="298" spans="1:9" ht="12.75" customHeight="1">
      <c r="A298" s="395"/>
      <c r="B298" s="396"/>
      <c r="C298" s="397"/>
      <c r="D298" s="398"/>
      <c r="E298" s="399"/>
      <c r="F298" s="400"/>
      <c r="G298" s="382"/>
      <c r="H298" s="380"/>
      <c r="I298" s="15"/>
    </row>
    <row r="299" spans="1:9" ht="12.75" customHeight="1">
      <c r="A299" s="395"/>
      <c r="B299" s="396"/>
      <c r="C299" s="397"/>
      <c r="D299" s="398"/>
      <c r="E299" s="399"/>
      <c r="F299" s="400"/>
      <c r="G299" s="382"/>
      <c r="H299" s="380"/>
      <c r="I299" s="15"/>
    </row>
    <row r="300" spans="1:9" ht="12.75" customHeight="1">
      <c r="A300" s="395"/>
      <c r="B300" s="396"/>
      <c r="C300" s="397"/>
      <c r="D300" s="398"/>
      <c r="E300" s="399"/>
      <c r="F300" s="400"/>
      <c r="G300" s="382"/>
      <c r="H300" s="380"/>
      <c r="I300" s="15"/>
    </row>
    <row r="301" spans="1:9" ht="12.75" customHeight="1">
      <c r="A301" s="395"/>
      <c r="B301" s="396"/>
      <c r="C301" s="397"/>
      <c r="D301" s="398"/>
      <c r="E301" s="399"/>
      <c r="F301" s="400"/>
      <c r="G301" s="382"/>
      <c r="H301" s="380"/>
      <c r="I301" s="15"/>
    </row>
    <row r="302" spans="1:9" ht="12.75" customHeight="1">
      <c r="A302" s="395"/>
      <c r="B302" s="396"/>
      <c r="C302" s="397"/>
      <c r="D302" s="398"/>
      <c r="E302" s="399"/>
      <c r="F302" s="400"/>
      <c r="G302" s="382"/>
      <c r="H302" s="380"/>
      <c r="I302" s="15"/>
    </row>
    <row r="303" spans="1:9" ht="12.75" customHeight="1">
      <c r="A303" s="395"/>
      <c r="B303" s="396"/>
      <c r="C303" s="397"/>
      <c r="D303" s="398"/>
      <c r="E303" s="399"/>
      <c r="F303" s="400"/>
      <c r="G303" s="382"/>
      <c r="H303" s="380"/>
      <c r="I303" s="15"/>
    </row>
    <row r="304" spans="1:9" ht="12.75" customHeight="1">
      <c r="A304" s="395"/>
      <c r="B304" s="396"/>
      <c r="C304" s="397"/>
      <c r="D304" s="398"/>
      <c r="E304" s="399"/>
      <c r="F304" s="400"/>
      <c r="G304" s="382"/>
      <c r="H304" s="380"/>
      <c r="I304" s="15"/>
    </row>
    <row r="305" spans="1:9" ht="12.75" customHeight="1">
      <c r="A305" s="395"/>
      <c r="B305" s="396"/>
      <c r="C305" s="397"/>
      <c r="D305" s="398"/>
      <c r="E305" s="399"/>
      <c r="F305" s="400"/>
      <c r="G305" s="382"/>
      <c r="H305" s="380"/>
      <c r="I305" s="15"/>
    </row>
    <row r="306" spans="1:9" ht="12.75" customHeight="1">
      <c r="A306" s="395"/>
      <c r="B306" s="396"/>
      <c r="C306" s="397"/>
      <c r="D306" s="398"/>
      <c r="E306" s="399"/>
      <c r="F306" s="400"/>
      <c r="G306" s="382"/>
      <c r="H306" s="380"/>
      <c r="I306" s="15"/>
    </row>
    <row r="307" spans="1:9" ht="12.75" customHeight="1">
      <c r="A307" s="395"/>
      <c r="B307" s="396"/>
      <c r="C307" s="397"/>
      <c r="D307" s="398"/>
      <c r="E307" s="399"/>
      <c r="F307" s="400"/>
      <c r="G307" s="382"/>
      <c r="H307" s="380"/>
      <c r="I307" s="15"/>
    </row>
    <row r="308" spans="1:9" ht="12.75" customHeight="1">
      <c r="A308" s="395"/>
      <c r="B308" s="396"/>
      <c r="C308" s="397"/>
      <c r="D308" s="398"/>
      <c r="E308" s="399"/>
      <c r="F308" s="400"/>
      <c r="G308" s="382"/>
      <c r="H308" s="380"/>
      <c r="I308" s="15"/>
    </row>
    <row r="309" spans="1:9" ht="12.75" customHeight="1">
      <c r="A309" s="395"/>
      <c r="B309" s="396"/>
      <c r="C309" s="397"/>
      <c r="D309" s="398"/>
      <c r="E309" s="399"/>
      <c r="F309" s="400"/>
      <c r="G309" s="382"/>
      <c r="H309" s="380"/>
      <c r="I309" s="15"/>
    </row>
    <row r="310" spans="1:9" ht="12.75" customHeight="1">
      <c r="A310" s="395"/>
      <c r="B310" s="396"/>
      <c r="C310" s="397"/>
      <c r="D310" s="398"/>
      <c r="E310" s="399"/>
      <c r="F310" s="400"/>
      <c r="G310" s="382"/>
      <c r="H310" s="380"/>
      <c r="I310" s="15"/>
    </row>
    <row r="311" spans="1:9" ht="12.75" customHeight="1">
      <c r="A311" s="395"/>
      <c r="B311" s="396"/>
      <c r="C311" s="397"/>
      <c r="D311" s="398"/>
      <c r="E311" s="399"/>
      <c r="F311" s="400"/>
      <c r="G311" s="382"/>
      <c r="H311" s="380"/>
      <c r="I311" s="15"/>
    </row>
    <row r="312" spans="1:9" ht="12.75" customHeight="1">
      <c r="A312" s="395"/>
      <c r="B312" s="396"/>
      <c r="C312" s="397"/>
      <c r="D312" s="398"/>
      <c r="E312" s="399"/>
      <c r="F312" s="400"/>
      <c r="G312" s="382"/>
      <c r="H312" s="380"/>
      <c r="I312" s="15"/>
    </row>
    <row r="313" spans="1:9" ht="12.75" customHeight="1">
      <c r="A313" s="395"/>
      <c r="B313" s="396"/>
      <c r="C313" s="397"/>
      <c r="D313" s="398"/>
      <c r="E313" s="399"/>
      <c r="F313" s="400"/>
      <c r="G313" s="382"/>
      <c r="H313" s="380"/>
      <c r="I313" s="15"/>
    </row>
    <row r="314" spans="1:9" ht="12.75" customHeight="1">
      <c r="A314" s="395"/>
      <c r="B314" s="396"/>
      <c r="C314" s="397"/>
      <c r="D314" s="398"/>
      <c r="E314" s="399"/>
      <c r="F314" s="400"/>
      <c r="G314" s="382"/>
      <c r="H314" s="380"/>
      <c r="I314" s="15"/>
    </row>
    <row r="315" spans="1:9" ht="12.75" customHeight="1">
      <c r="A315" s="395"/>
      <c r="B315" s="396"/>
      <c r="C315" s="397"/>
      <c r="D315" s="398"/>
      <c r="E315" s="399"/>
      <c r="F315" s="400"/>
      <c r="G315" s="382"/>
      <c r="H315" s="380"/>
      <c r="I315" s="15"/>
    </row>
    <row r="316" spans="1:9" ht="12.75" customHeight="1">
      <c r="A316" s="395"/>
      <c r="B316" s="396"/>
      <c r="C316" s="397"/>
      <c r="D316" s="398"/>
      <c r="E316" s="399"/>
      <c r="F316" s="400"/>
      <c r="G316" s="382"/>
      <c r="H316" s="380"/>
      <c r="I316" s="15"/>
    </row>
    <row r="317" spans="1:9" ht="12.75" customHeight="1">
      <c r="A317" s="395"/>
      <c r="B317" s="396"/>
      <c r="C317" s="397"/>
      <c r="D317" s="398"/>
      <c r="E317" s="399"/>
      <c r="F317" s="400"/>
      <c r="G317" s="382"/>
      <c r="H317" s="380"/>
      <c r="I317" s="15"/>
    </row>
    <row r="318" spans="1:9" ht="12.75" customHeight="1">
      <c r="A318" s="395"/>
      <c r="B318" s="396"/>
      <c r="C318" s="397"/>
      <c r="D318" s="398"/>
      <c r="E318" s="399"/>
      <c r="F318" s="400"/>
      <c r="G318" s="382"/>
      <c r="H318" s="380"/>
      <c r="I318" s="15"/>
    </row>
    <row r="319" spans="1:9" ht="12.75" customHeight="1">
      <c r="A319" s="395"/>
      <c r="B319" s="396"/>
      <c r="C319" s="397"/>
      <c r="D319" s="398"/>
      <c r="E319" s="399"/>
      <c r="F319" s="400"/>
      <c r="G319" s="382"/>
      <c r="H319" s="380"/>
      <c r="I319" s="15"/>
    </row>
    <row r="320" spans="1:9" ht="12.75" customHeight="1">
      <c r="A320" s="395"/>
      <c r="B320" s="396"/>
      <c r="C320" s="401"/>
      <c r="D320" s="402"/>
      <c r="E320" s="403"/>
      <c r="F320" s="404"/>
      <c r="G320" s="382"/>
      <c r="H320" s="380"/>
      <c r="I320" s="15"/>
    </row>
    <row r="321" spans="1:9" ht="12.75" customHeight="1">
      <c r="A321" s="395"/>
      <c r="B321" s="396"/>
      <c r="C321" s="401"/>
      <c r="D321" s="402"/>
      <c r="E321" s="401"/>
      <c r="F321" s="404"/>
      <c r="G321" s="382"/>
      <c r="H321" s="380"/>
      <c r="I321" s="15"/>
    </row>
    <row r="322" spans="1:9" ht="12.75" customHeight="1">
      <c r="A322" s="405"/>
      <c r="B322" s="406"/>
      <c r="C322" s="407"/>
      <c r="D322" s="408"/>
      <c r="E322" s="409"/>
      <c r="F322" s="394"/>
      <c r="G322" s="382"/>
      <c r="H322" s="380"/>
      <c r="I322" s="15"/>
    </row>
    <row r="323" spans="1:9" ht="12.75" customHeight="1">
      <c r="A323" s="395"/>
      <c r="B323" s="396"/>
      <c r="C323" s="397"/>
      <c r="D323" s="398"/>
      <c r="E323" s="399"/>
      <c r="F323" s="400"/>
      <c r="G323" s="382"/>
      <c r="H323" s="380"/>
      <c r="I323" s="15"/>
    </row>
    <row r="324" spans="1:9" ht="12.75" customHeight="1">
      <c r="A324" s="395"/>
      <c r="B324" s="396"/>
      <c r="C324" s="397"/>
      <c r="D324" s="398"/>
      <c r="E324" s="399"/>
      <c r="F324" s="400"/>
      <c r="G324" s="382"/>
      <c r="H324" s="380"/>
      <c r="I324" s="15"/>
    </row>
    <row r="325" spans="1:9" ht="12.75" customHeight="1">
      <c r="A325" s="395"/>
      <c r="B325" s="396"/>
      <c r="C325" s="397"/>
      <c r="D325" s="398"/>
      <c r="E325" s="403"/>
      <c r="F325" s="404"/>
      <c r="G325" s="382"/>
      <c r="H325" s="380"/>
      <c r="I325" s="15"/>
    </row>
    <row r="326" spans="1:9" ht="12.75" customHeight="1">
      <c r="A326" s="395"/>
      <c r="B326" s="396"/>
      <c r="C326" s="401"/>
      <c r="D326" s="402"/>
      <c r="E326" s="403"/>
      <c r="F326" s="404"/>
      <c r="G326" s="382"/>
      <c r="H326" s="380"/>
      <c r="I326" s="15"/>
    </row>
    <row r="327" spans="1:9" ht="12.75" customHeight="1">
      <c r="A327" s="395"/>
      <c r="B327" s="396"/>
      <c r="C327" s="401"/>
      <c r="D327" s="402"/>
      <c r="E327" s="403"/>
      <c r="F327" s="404"/>
      <c r="G327" s="382"/>
      <c r="H327" s="380"/>
      <c r="I327" s="15"/>
    </row>
    <row r="328" spans="1:9" ht="12.75" customHeight="1">
      <c r="A328" s="395"/>
      <c r="B328" s="396"/>
      <c r="C328" s="407"/>
      <c r="D328" s="408"/>
      <c r="E328" s="409"/>
      <c r="F328" s="394"/>
      <c r="G328" s="382"/>
      <c r="H328" s="380"/>
      <c r="I328" s="15"/>
    </row>
    <row r="329" spans="1:9" ht="12.75" customHeight="1">
      <c r="A329" s="395"/>
      <c r="B329" s="396"/>
      <c r="C329" s="397"/>
      <c r="D329" s="398"/>
      <c r="E329" s="399"/>
      <c r="F329" s="400"/>
      <c r="G329" s="382"/>
      <c r="H329" s="380"/>
      <c r="I329" s="15"/>
    </row>
    <row r="330" spans="1:9" ht="12.75" customHeight="1">
      <c r="A330" s="395"/>
      <c r="B330" s="396"/>
      <c r="C330" s="397"/>
      <c r="D330" s="398"/>
      <c r="E330" s="403"/>
      <c r="F330" s="404"/>
      <c r="G330" s="382"/>
      <c r="H330" s="380"/>
      <c r="I330" s="15"/>
    </row>
    <row r="331" spans="1:9" ht="12.75" customHeight="1">
      <c r="A331" s="395"/>
      <c r="B331" s="396"/>
      <c r="C331" s="401"/>
      <c r="D331" s="402"/>
      <c r="E331" s="403"/>
      <c r="F331" s="404"/>
      <c r="G331" s="382"/>
      <c r="H331" s="380"/>
      <c r="I331" s="15"/>
    </row>
    <row r="332" spans="1:9" ht="12.75" customHeight="1">
      <c r="A332" s="395"/>
      <c r="B332" s="396"/>
      <c r="C332" s="401"/>
      <c r="D332" s="402"/>
      <c r="E332" s="410"/>
      <c r="F332" s="411"/>
      <c r="G332" s="382"/>
      <c r="H332" s="380"/>
      <c r="I332" s="15"/>
    </row>
    <row r="333" spans="1:9" ht="12.75" customHeight="1">
      <c r="A333" s="405"/>
      <c r="B333" s="406"/>
      <c r="C333" s="407"/>
      <c r="D333" s="408"/>
      <c r="E333" s="409"/>
      <c r="F333" s="394"/>
      <c r="G333" s="412"/>
      <c r="H333" s="413"/>
      <c r="I333" s="15"/>
    </row>
    <row r="334" spans="1:9" ht="12.75" customHeight="1">
      <c r="A334" s="395"/>
      <c r="B334" s="414"/>
      <c r="C334" s="399"/>
      <c r="D334" s="400"/>
      <c r="E334" s="415"/>
      <c r="F334" s="416"/>
      <c r="G334" s="417"/>
      <c r="H334" s="413"/>
      <c r="I334" s="15"/>
    </row>
    <row r="335" spans="1:9" ht="12.75" customHeight="1">
      <c r="A335" s="395"/>
      <c r="B335" s="414"/>
      <c r="C335" s="399"/>
      <c r="D335" s="400"/>
      <c r="E335" s="410"/>
      <c r="F335" s="411"/>
      <c r="G335" s="417"/>
      <c r="H335" s="413"/>
      <c r="I335" s="15"/>
    </row>
    <row r="336" spans="1:9" ht="12.75" customHeight="1">
      <c r="A336" s="395"/>
      <c r="B336" s="414"/>
      <c r="C336" s="403"/>
      <c r="D336" s="404"/>
      <c r="E336" s="418"/>
      <c r="F336" s="404"/>
      <c r="G336" s="41"/>
      <c r="H336" s="414"/>
      <c r="I336" s="15"/>
    </row>
    <row r="337" spans="1:9" ht="12.75" customHeight="1">
      <c r="A337" s="395"/>
      <c r="B337" s="414"/>
      <c r="C337" s="403"/>
      <c r="D337" s="404"/>
      <c r="E337" s="410"/>
      <c r="F337" s="404"/>
      <c r="G337" s="417"/>
      <c r="H337" s="413"/>
      <c r="I337" s="15"/>
    </row>
    <row r="338" spans="1:9" ht="12.75" customHeight="1">
      <c r="A338" s="395"/>
      <c r="B338" s="419"/>
      <c r="C338" s="410"/>
      <c r="D338" s="416"/>
      <c r="E338" s="420"/>
      <c r="F338" s="415"/>
      <c r="G338" s="421"/>
      <c r="H338" s="422"/>
      <c r="I338" s="15"/>
    </row>
    <row r="339" spans="1:9" ht="12.75" customHeight="1">
      <c r="A339" s="405"/>
      <c r="B339" s="423"/>
      <c r="C339" s="424"/>
      <c r="D339" s="425"/>
      <c r="E339" s="423"/>
      <c r="F339" s="424"/>
      <c r="G339" s="426"/>
      <c r="H339" s="427"/>
      <c r="I339" s="15"/>
    </row>
    <row r="340" spans="1:9" ht="12.75" customHeight="1">
      <c r="A340" s="389"/>
      <c r="B340" s="428"/>
      <c r="C340" s="429"/>
      <c r="D340" s="416"/>
      <c r="E340" s="430"/>
      <c r="F340" s="431"/>
      <c r="G340" s="432"/>
      <c r="H340" s="433"/>
      <c r="I340" s="434"/>
    </row>
    <row r="341" spans="1:9" ht="12.75" customHeight="1">
      <c r="A341" s="435"/>
      <c r="B341" s="436"/>
      <c r="C341" s="437"/>
      <c r="D341" s="438"/>
      <c r="E341" s="437"/>
      <c r="F341" s="438"/>
      <c r="G341" s="438"/>
      <c r="H341" s="439"/>
      <c r="I341" s="440"/>
    </row>
    <row r="342" spans="1:9" ht="12.75" customHeight="1">
      <c r="A342" s="435"/>
      <c r="B342" s="436"/>
      <c r="C342" s="437"/>
      <c r="D342" s="438"/>
      <c r="E342" s="437"/>
      <c r="F342" s="438"/>
      <c r="G342" s="438"/>
      <c r="H342" s="439"/>
      <c r="I342" s="440"/>
    </row>
    <row r="343" ht="12.75" customHeight="1">
      <c r="I343" s="377"/>
    </row>
    <row r="344" ht="12.75" customHeight="1">
      <c r="I344" s="377"/>
    </row>
  </sheetData>
  <sheetProtection/>
  <mergeCells count="1">
    <mergeCell ref="C7:D7"/>
  </mergeCells>
  <printOptions/>
  <pageMargins left="0.67" right="0.2" top="0.25" bottom="0.25" header="0.34" footer="0.3"/>
  <pageSetup horizontalDpi="600" verticalDpi="600" orientation="portrait" paperSize="5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"/>
    </sheetView>
  </sheetViews>
  <sheetFormatPr defaultColWidth="9.140625" defaultRowHeight="18" customHeight="1"/>
  <cols>
    <col min="1" max="1" width="20.140625" style="378" customWidth="1"/>
    <col min="2" max="2" width="9.140625" style="378" customWidth="1"/>
    <col min="3" max="3" width="11.28125" style="378" customWidth="1"/>
    <col min="4" max="4" width="12.28125" style="378" customWidth="1"/>
    <col min="5" max="5" width="15.8515625" style="378" customWidth="1"/>
    <col min="6" max="6" width="13.7109375" style="378" customWidth="1"/>
    <col min="7" max="16384" width="9.140625" style="378" customWidth="1"/>
  </cols>
  <sheetData>
    <row r="1" spans="1:8" ht="15.75" customHeight="1">
      <c r="A1" s="329" t="s">
        <v>1496</v>
      </c>
      <c r="B1" s="8"/>
      <c r="C1" s="8"/>
      <c r="D1" s="8"/>
      <c r="E1" s="8"/>
      <c r="F1" s="8"/>
      <c r="G1" s="2"/>
      <c r="H1" s="2"/>
    </row>
    <row r="2" spans="1:8" ht="15.75" customHeight="1">
      <c r="A2" s="329" t="s">
        <v>1495</v>
      </c>
      <c r="B2" s="8"/>
      <c r="C2" s="8"/>
      <c r="D2" s="8"/>
      <c r="E2" s="8"/>
      <c r="F2" s="8"/>
      <c r="G2" s="2"/>
      <c r="H2" s="2"/>
    </row>
    <row r="3" spans="1:8" ht="15.75" customHeight="1">
      <c r="A3" s="59"/>
      <c r="B3" s="8"/>
      <c r="C3" s="8"/>
      <c r="D3" s="8"/>
      <c r="E3" s="8"/>
      <c r="F3" s="8"/>
      <c r="G3" s="2"/>
      <c r="H3" s="2"/>
    </row>
    <row r="4" spans="1:8" ht="15.75" customHeight="1">
      <c r="A4" s="858" t="s">
        <v>5</v>
      </c>
      <c r="B4" s="858"/>
      <c r="C4" s="8"/>
      <c r="D4" s="8"/>
      <c r="E4" s="8"/>
      <c r="F4" s="8"/>
      <c r="G4" s="2"/>
      <c r="H4" s="2"/>
    </row>
    <row r="5" spans="1:8" ht="15.75" customHeight="1">
      <c r="A5" s="858" t="s">
        <v>6</v>
      </c>
      <c r="B5" s="858"/>
      <c r="C5" s="858"/>
      <c r="D5" s="60"/>
      <c r="E5" s="8"/>
      <c r="F5" s="8"/>
      <c r="G5" s="2"/>
      <c r="H5" s="2"/>
    </row>
    <row r="6" spans="1:8" ht="15.75" customHeight="1">
      <c r="A6" s="858" t="s">
        <v>7</v>
      </c>
      <c r="B6" s="858"/>
      <c r="C6" s="858"/>
      <c r="D6" s="58"/>
      <c r="E6" s="58"/>
      <c r="F6" s="8"/>
      <c r="G6" s="2"/>
      <c r="H6" s="2"/>
    </row>
    <row r="7" spans="1:8" ht="15.75" customHeight="1">
      <c r="A7" s="58" t="s">
        <v>276</v>
      </c>
      <c r="B7" s="8"/>
      <c r="C7" s="8"/>
      <c r="D7" s="8"/>
      <c r="E7" s="8"/>
      <c r="F7" s="8"/>
      <c r="G7" s="2"/>
      <c r="H7" s="2"/>
    </row>
    <row r="8" spans="1:8" ht="15.75" customHeight="1">
      <c r="A8" s="9"/>
      <c r="B8" s="61" t="s">
        <v>1497</v>
      </c>
      <c r="D8" s="9"/>
      <c r="E8" s="9"/>
      <c r="F8" s="9"/>
      <c r="G8" s="2"/>
      <c r="H8" s="2"/>
    </row>
    <row r="9" spans="1:8" ht="15.75" customHeight="1">
      <c r="A9" s="8" t="s">
        <v>8</v>
      </c>
      <c r="B9" s="8"/>
      <c r="C9" s="8"/>
      <c r="D9" s="8"/>
      <c r="E9" s="8"/>
      <c r="F9" s="8"/>
      <c r="G9" s="2"/>
      <c r="H9" s="2"/>
    </row>
    <row r="10" spans="1:8" ht="15.75" customHeight="1">
      <c r="A10" s="9" t="s">
        <v>9</v>
      </c>
      <c r="B10" s="9"/>
      <c r="C10" s="9"/>
      <c r="D10" s="9"/>
      <c r="E10" s="9"/>
      <c r="F10" s="9"/>
      <c r="G10" s="2"/>
      <c r="H10" s="2"/>
    </row>
    <row r="11" spans="1:8" ht="15.75" customHeight="1">
      <c r="A11" s="9"/>
      <c r="B11" s="9"/>
      <c r="C11" s="9"/>
      <c r="D11" s="9"/>
      <c r="E11" s="9"/>
      <c r="F11" s="9"/>
      <c r="G11" s="2"/>
      <c r="H11" s="2"/>
    </row>
    <row r="12" spans="1:8" ht="15.75" customHeight="1">
      <c r="A12" s="61" t="s">
        <v>36</v>
      </c>
      <c r="B12" s="190"/>
      <c r="C12" s="190" t="s">
        <v>10</v>
      </c>
      <c r="D12" s="190" t="s">
        <v>0</v>
      </c>
      <c r="E12" s="190" t="s">
        <v>34</v>
      </c>
      <c r="F12" s="190" t="s">
        <v>1</v>
      </c>
      <c r="G12" s="2"/>
      <c r="H12" s="2"/>
    </row>
    <row r="13" spans="1:8" ht="15.75" customHeight="1">
      <c r="A13" s="8" t="s">
        <v>11</v>
      </c>
      <c r="B13" s="10" t="s">
        <v>12</v>
      </c>
      <c r="C13" s="186">
        <v>130</v>
      </c>
      <c r="D13" s="62">
        <v>6489.5</v>
      </c>
      <c r="E13" s="63">
        <v>1038976</v>
      </c>
      <c r="F13" s="316">
        <f>E13/D13</f>
        <v>160.10108637029046</v>
      </c>
      <c r="G13" s="2"/>
      <c r="H13" s="2"/>
    </row>
    <row r="14" spans="1:8" ht="15.75" customHeight="1">
      <c r="A14" s="8" t="s">
        <v>13</v>
      </c>
      <c r="B14" s="10" t="s">
        <v>12</v>
      </c>
      <c r="C14" s="65">
        <v>0</v>
      </c>
      <c r="D14" s="66">
        <v>0</v>
      </c>
      <c r="E14" s="67">
        <v>0</v>
      </c>
      <c r="F14" s="316" t="e">
        <f>E14/D14</f>
        <v>#DIV/0!</v>
      </c>
      <c r="G14" s="2"/>
      <c r="H14" s="2"/>
    </row>
    <row r="15" spans="1:8" ht="15.75" customHeight="1">
      <c r="A15" s="8" t="s">
        <v>14</v>
      </c>
      <c r="B15" s="10"/>
      <c r="C15" s="187">
        <f>C13+C14</f>
        <v>130</v>
      </c>
      <c r="D15" s="68">
        <f>D13+D14</f>
        <v>6489.5</v>
      </c>
      <c r="E15" s="188">
        <f>E13+E14</f>
        <v>1038976</v>
      </c>
      <c r="F15" s="317">
        <f>E15/D15</f>
        <v>160.10108637029046</v>
      </c>
      <c r="G15" s="2"/>
      <c r="H15" s="2"/>
    </row>
    <row r="16" spans="1:8" ht="15.75" customHeight="1">
      <c r="A16" s="8"/>
      <c r="B16" s="10"/>
      <c r="C16" s="198"/>
      <c r="D16" s="71"/>
      <c r="E16" s="72"/>
      <c r="F16" s="318"/>
      <c r="G16" s="2"/>
      <c r="H16" s="2"/>
    </row>
    <row r="17" spans="1:8" ht="15.75" customHeight="1">
      <c r="A17" s="61" t="s">
        <v>15</v>
      </c>
      <c r="B17" s="190"/>
      <c r="C17" s="190" t="s">
        <v>10</v>
      </c>
      <c r="D17" s="191" t="s">
        <v>0</v>
      </c>
      <c r="E17" s="190" t="s">
        <v>34</v>
      </c>
      <c r="F17" s="319" t="s">
        <v>1</v>
      </c>
      <c r="G17" s="2"/>
      <c r="H17" s="2"/>
    </row>
    <row r="18" spans="1:8" ht="15.75" customHeight="1">
      <c r="A18" s="8" t="s">
        <v>11</v>
      </c>
      <c r="B18" s="10" t="s">
        <v>16</v>
      </c>
      <c r="C18" s="65">
        <v>0</v>
      </c>
      <c r="D18" s="66">
        <v>0</v>
      </c>
      <c r="E18" s="67">
        <v>0</v>
      </c>
      <c r="F18" s="320" t="e">
        <f>E18/D18</f>
        <v>#DIV/0!</v>
      </c>
      <c r="G18" s="2"/>
      <c r="H18" s="2"/>
    </row>
    <row r="19" spans="1:8" ht="15.75" customHeight="1">
      <c r="A19" s="8" t="s">
        <v>14</v>
      </c>
      <c r="B19" s="10"/>
      <c r="C19" s="551">
        <f>SUM(C18)</f>
        <v>0</v>
      </c>
      <c r="D19" s="66">
        <f>SUM(D18)</f>
        <v>0</v>
      </c>
      <c r="E19" s="75">
        <f>SUM(E18)</f>
        <v>0</v>
      </c>
      <c r="F19" s="320" t="e">
        <f>E19/D19</f>
        <v>#DIV/0!</v>
      </c>
      <c r="G19" s="2"/>
      <c r="H19" s="2"/>
    </row>
    <row r="20" spans="1:8" ht="15.75" customHeight="1">
      <c r="A20" s="8" t="s">
        <v>32</v>
      </c>
      <c r="B20" s="10"/>
      <c r="C20" s="77">
        <f>C19+C15</f>
        <v>130</v>
      </c>
      <c r="D20" s="68">
        <f>D19+D15</f>
        <v>6489.5</v>
      </c>
      <c r="E20" s="78">
        <f>E19+E15</f>
        <v>1038976</v>
      </c>
      <c r="F20" s="317">
        <f>E20/D20</f>
        <v>160.10108637029046</v>
      </c>
      <c r="G20" s="2"/>
      <c r="H20" s="2"/>
    </row>
    <row r="21" spans="1:8" ht="15.75" customHeight="1">
      <c r="A21" s="8"/>
      <c r="B21" s="10"/>
      <c r="C21" s="79"/>
      <c r="D21" s="71"/>
      <c r="E21" s="72"/>
      <c r="F21" s="318"/>
      <c r="G21" s="2"/>
      <c r="H21" s="2"/>
    </row>
    <row r="22" spans="1:8" ht="15.75" customHeight="1">
      <c r="A22" s="61" t="s">
        <v>37</v>
      </c>
      <c r="B22" s="190"/>
      <c r="C22" s="190" t="s">
        <v>10</v>
      </c>
      <c r="D22" s="191" t="s">
        <v>0</v>
      </c>
      <c r="E22" s="190" t="s">
        <v>34</v>
      </c>
      <c r="F22" s="319" t="s">
        <v>1</v>
      </c>
      <c r="G22" s="2"/>
      <c r="H22" s="2"/>
    </row>
    <row r="23" spans="1:8" ht="15.75" customHeight="1">
      <c r="A23" s="8" t="s">
        <v>11</v>
      </c>
      <c r="B23" s="10" t="s">
        <v>12</v>
      </c>
      <c r="C23" s="83">
        <v>0</v>
      </c>
      <c r="D23" s="62">
        <v>0</v>
      </c>
      <c r="E23" s="63">
        <v>0</v>
      </c>
      <c r="F23" s="316" t="e">
        <f>E23/D23</f>
        <v>#DIV/0!</v>
      </c>
      <c r="G23" s="2"/>
      <c r="H23" s="2"/>
    </row>
    <row r="24" spans="1:8" ht="15.75" customHeight="1">
      <c r="A24" s="8" t="s">
        <v>13</v>
      </c>
      <c r="B24" s="10" t="s">
        <v>12</v>
      </c>
      <c r="C24" s="84"/>
      <c r="D24" s="66"/>
      <c r="E24" s="67"/>
      <c r="F24" s="320" t="e">
        <f>E24/D24</f>
        <v>#DIV/0!</v>
      </c>
      <c r="G24" s="2"/>
      <c r="H24" s="2"/>
    </row>
    <row r="25" spans="1:8" ht="15.75" customHeight="1">
      <c r="A25" s="8" t="s">
        <v>14</v>
      </c>
      <c r="B25" s="10"/>
      <c r="C25" s="74">
        <f>C23+C24</f>
        <v>0</v>
      </c>
      <c r="D25" s="66">
        <f>D23+D24</f>
        <v>0</v>
      </c>
      <c r="E25" s="67">
        <f>E23+E24</f>
        <v>0</v>
      </c>
      <c r="F25" s="320" t="e">
        <f>E25/D25</f>
        <v>#DIV/0!</v>
      </c>
      <c r="G25" s="2"/>
      <c r="H25" s="2"/>
    </row>
    <row r="26" spans="1:8" ht="15.75" customHeight="1">
      <c r="A26" s="8"/>
      <c r="B26" s="10"/>
      <c r="C26" s="79"/>
      <c r="D26" s="71"/>
      <c r="E26" s="72"/>
      <c r="F26" s="318"/>
      <c r="G26" s="2"/>
      <c r="H26" s="2"/>
    </row>
    <row r="27" spans="1:8" ht="15.75" customHeight="1">
      <c r="A27" s="58" t="s">
        <v>38</v>
      </c>
      <c r="B27" s="80"/>
      <c r="C27" s="80" t="s">
        <v>10</v>
      </c>
      <c r="D27" s="81" t="s">
        <v>0</v>
      </c>
      <c r="E27" s="80" t="s">
        <v>34</v>
      </c>
      <c r="F27" s="321" t="s">
        <v>1</v>
      </c>
      <c r="G27" s="2"/>
      <c r="H27" s="2"/>
    </row>
    <row r="28" spans="1:8" ht="15.75" customHeight="1">
      <c r="A28" s="8" t="s">
        <v>11</v>
      </c>
      <c r="B28" s="10" t="s">
        <v>12</v>
      </c>
      <c r="C28" s="70"/>
      <c r="D28" s="71"/>
      <c r="E28" s="72"/>
      <c r="F28" s="318" t="e">
        <f>E28/D28</f>
        <v>#DIV/0!</v>
      </c>
      <c r="G28" s="2"/>
      <c r="H28" s="2"/>
    </row>
    <row r="29" spans="1:8" ht="15.75" customHeight="1">
      <c r="A29" s="8" t="s">
        <v>13</v>
      </c>
      <c r="B29" s="10" t="s">
        <v>12</v>
      </c>
      <c r="C29" s="70"/>
      <c r="D29" s="71"/>
      <c r="E29" s="72"/>
      <c r="F29" s="318" t="e">
        <f>E29/D29</f>
        <v>#DIV/0!</v>
      </c>
      <c r="G29" s="2"/>
      <c r="H29" s="2"/>
    </row>
    <row r="30" spans="1:8" ht="15.75" customHeight="1">
      <c r="A30" s="8" t="s">
        <v>14</v>
      </c>
      <c r="B30" s="10"/>
      <c r="C30" s="79">
        <f>C28+C29</f>
        <v>0</v>
      </c>
      <c r="D30" s="71">
        <f>D28+D29</f>
        <v>0</v>
      </c>
      <c r="E30" s="193">
        <f>E28+E29</f>
        <v>0</v>
      </c>
      <c r="F30" s="318" t="e">
        <f>E30/D30</f>
        <v>#DIV/0!</v>
      </c>
      <c r="G30" s="2"/>
      <c r="H30" s="2"/>
    </row>
    <row r="31" spans="1:8" ht="15.75" customHeight="1">
      <c r="A31" s="8"/>
      <c r="B31" s="10"/>
      <c r="C31" s="79"/>
      <c r="D31" s="71"/>
      <c r="E31" s="193"/>
      <c r="F31" s="318"/>
      <c r="G31" s="2"/>
      <c r="H31" s="2"/>
    </row>
    <row r="32" spans="1:8" ht="15.75" customHeight="1">
      <c r="A32" s="8" t="s">
        <v>29</v>
      </c>
      <c r="B32" s="10" t="s">
        <v>16</v>
      </c>
      <c r="C32" s="70"/>
      <c r="D32" s="71"/>
      <c r="E32" s="72"/>
      <c r="F32" s="318"/>
      <c r="G32" s="2"/>
      <c r="H32" s="2"/>
    </row>
    <row r="33" spans="1:8" ht="15.75" customHeight="1">
      <c r="A33" s="8" t="s">
        <v>14</v>
      </c>
      <c r="B33" s="10"/>
      <c r="C33" s="74">
        <f>C28+C29+C32</f>
        <v>0</v>
      </c>
      <c r="D33" s="66">
        <f>D28+D29+D32</f>
        <v>0</v>
      </c>
      <c r="E33" s="75">
        <f>E28+E29+E32</f>
        <v>0</v>
      </c>
      <c r="F33" s="316" t="e">
        <f>E33/D33</f>
        <v>#DIV/0!</v>
      </c>
      <c r="G33" s="2"/>
      <c r="H33" s="2"/>
    </row>
    <row r="34" spans="1:8" ht="15.75" customHeight="1">
      <c r="A34" s="8" t="s">
        <v>17</v>
      </c>
      <c r="B34" s="10"/>
      <c r="C34" s="77">
        <f>C33+C15+C19+C25</f>
        <v>130</v>
      </c>
      <c r="D34" s="68">
        <f>D33+D15+D19+D25</f>
        <v>6489.5</v>
      </c>
      <c r="E34" s="78">
        <f>E15+E19+E25+E30+E32</f>
        <v>1038976</v>
      </c>
      <c r="F34" s="317">
        <f>E34/D34</f>
        <v>160.10108637029046</v>
      </c>
      <c r="G34" s="2"/>
      <c r="H34" s="2"/>
    </row>
    <row r="35" spans="1:8" ht="15.75" customHeight="1">
      <c r="A35" s="8"/>
      <c r="B35" s="10"/>
      <c r="C35" s="79"/>
      <c r="D35" s="11"/>
      <c r="E35" s="85"/>
      <c r="F35" s="86"/>
      <c r="G35" s="2"/>
      <c r="H35" s="2"/>
    </row>
    <row r="36" spans="1:8" ht="15.75" customHeight="1">
      <c r="A36" s="58"/>
      <c r="B36" s="80"/>
      <c r="C36" s="194"/>
      <c r="D36" s="364" t="s">
        <v>1498</v>
      </c>
      <c r="E36" s="196"/>
      <c r="F36" s="197"/>
      <c r="G36" s="2"/>
      <c r="H36" s="2"/>
    </row>
    <row r="37" spans="1:8" ht="15.75" customHeight="1">
      <c r="A37" s="58" t="s">
        <v>18</v>
      </c>
      <c r="B37" s="58"/>
      <c r="C37" s="80" t="s">
        <v>10</v>
      </c>
      <c r="D37" s="80" t="s">
        <v>0</v>
      </c>
      <c r="E37" s="88" t="s">
        <v>1</v>
      </c>
      <c r="F37" s="88" t="s">
        <v>2</v>
      </c>
      <c r="G37" s="2"/>
      <c r="H37" s="2"/>
    </row>
    <row r="38" spans="1:8" ht="15.75" customHeight="1">
      <c r="A38" s="60" t="s">
        <v>19</v>
      </c>
      <c r="B38" s="8"/>
      <c r="C38" s="89">
        <v>0</v>
      </c>
      <c r="D38" s="90">
        <v>0</v>
      </c>
      <c r="E38" s="91">
        <v>0</v>
      </c>
      <c r="F38" s="92">
        <f>D38/D40</f>
        <v>0</v>
      </c>
      <c r="G38" s="2"/>
      <c r="H38" s="2"/>
    </row>
    <row r="39" spans="1:8" ht="15.75" customHeight="1">
      <c r="A39" s="60" t="s">
        <v>30</v>
      </c>
      <c r="B39" s="8"/>
      <c r="C39" s="87">
        <v>130</v>
      </c>
      <c r="D39" s="93">
        <v>6489.5</v>
      </c>
      <c r="E39" s="94">
        <v>160.1</v>
      </c>
      <c r="F39" s="95">
        <f>D39/D40</f>
        <v>1</v>
      </c>
      <c r="G39" s="2"/>
      <c r="H39" s="2"/>
    </row>
    <row r="40" spans="1:8" ht="18.75" customHeight="1">
      <c r="A40" s="96" t="s">
        <v>20</v>
      </c>
      <c r="B40" s="97"/>
      <c r="C40" s="98">
        <f>SUM(C38:C39)</f>
        <v>130</v>
      </c>
      <c r="D40" s="99">
        <f>SUM(D38:D39)</f>
        <v>6489.5</v>
      </c>
      <c r="E40" s="189">
        <f>E39</f>
        <v>160.1</v>
      </c>
      <c r="F40" s="100">
        <f>SUM(F38:F39)</f>
        <v>1</v>
      </c>
      <c r="G40" s="2"/>
      <c r="H40" s="2"/>
    </row>
    <row r="41" spans="1:8" ht="15.75" customHeight="1">
      <c r="A41" s="58"/>
      <c r="B41" s="8"/>
      <c r="C41" s="87"/>
      <c r="D41" s="93"/>
      <c r="E41" s="101"/>
      <c r="F41" s="95"/>
      <c r="G41" s="2"/>
      <c r="H41" s="2"/>
    </row>
    <row r="42" spans="1:8" ht="15.75" customHeight="1">
      <c r="A42" s="8" t="s">
        <v>21</v>
      </c>
      <c r="B42" s="8"/>
      <c r="C42" s="8"/>
      <c r="D42" s="8"/>
      <c r="E42" s="8"/>
      <c r="F42" s="102"/>
      <c r="G42" s="2"/>
      <c r="H42" s="2"/>
    </row>
    <row r="43" spans="1:8" ht="15.75" customHeight="1">
      <c r="A43" s="8"/>
      <c r="B43" s="8"/>
      <c r="C43" s="8"/>
      <c r="D43" s="8"/>
      <c r="E43" s="8" t="s">
        <v>22</v>
      </c>
      <c r="F43" s="8"/>
      <c r="G43" s="2"/>
      <c r="H43" s="2"/>
    </row>
    <row r="44" spans="1:8" ht="15.75" customHeight="1">
      <c r="A44" s="8" t="s">
        <v>23</v>
      </c>
      <c r="B44" s="8"/>
      <c r="C44" s="8"/>
      <c r="D44" s="8" t="s">
        <v>24</v>
      </c>
      <c r="E44" s="8"/>
      <c r="F44" s="8"/>
      <c r="G44" s="2"/>
      <c r="H44" s="2"/>
    </row>
    <row r="45" spans="1:8" ht="15.75" customHeight="1">
      <c r="A45" s="8" t="s">
        <v>25</v>
      </c>
      <c r="B45" s="8"/>
      <c r="C45" s="8"/>
      <c r="D45" s="8"/>
      <c r="E45" s="8"/>
      <c r="F45" s="8"/>
      <c r="G45" s="2"/>
      <c r="H45" s="2"/>
    </row>
    <row r="46" spans="1:8" ht="15.75" customHeight="1">
      <c r="A46" s="8" t="s">
        <v>26</v>
      </c>
      <c r="B46" s="8"/>
      <c r="C46" s="8"/>
      <c r="D46" s="8"/>
      <c r="E46" s="8"/>
      <c r="F46" s="8"/>
      <c r="G46" s="2"/>
      <c r="H46" s="2"/>
    </row>
    <row r="47" spans="1:8" ht="15.75" customHeight="1">
      <c r="A47" s="8" t="s">
        <v>27</v>
      </c>
      <c r="B47" s="8"/>
      <c r="C47" s="8"/>
      <c r="D47" s="8"/>
      <c r="E47" s="8"/>
      <c r="F47" s="8"/>
      <c r="G47" s="2"/>
      <c r="H47" s="2"/>
    </row>
    <row r="48" spans="1:8" ht="15.75" customHeight="1">
      <c r="A48" s="8" t="s">
        <v>28</v>
      </c>
      <c r="B48" s="8"/>
      <c r="C48" s="8"/>
      <c r="D48" s="8"/>
      <c r="E48" s="8"/>
      <c r="F48" s="8"/>
      <c r="G48" s="2"/>
      <c r="H48" s="2"/>
    </row>
  </sheetData>
  <sheetProtection/>
  <mergeCells count="3">
    <mergeCell ref="A4:B4"/>
    <mergeCell ref="A5:C5"/>
    <mergeCell ref="A6:C6"/>
  </mergeCells>
  <printOptions/>
  <pageMargins left="0.7" right="0.7" top="1.25" bottom="0.75" header="0.3" footer="0.3"/>
  <pageSetup horizontalDpi="600" verticalDpi="600" orientation="portrait" scale="85" r:id="rId1"/>
  <headerFooter>
    <oddHeader>&amp;L&amp;D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9.140625" style="378" customWidth="1"/>
    <col min="2" max="2" width="7.8515625" style="31" customWidth="1"/>
    <col min="3" max="3" width="10.57421875" style="360" customWidth="1"/>
    <col min="4" max="4" width="6.28125" style="31" customWidth="1"/>
    <col min="5" max="5" width="10.28125" style="244" customWidth="1"/>
    <col min="6" max="6" width="7.8515625" style="31" customWidth="1"/>
    <col min="7" max="7" width="11.28125" style="360" customWidth="1"/>
    <col min="8" max="8" width="15.8515625" style="48" customWidth="1"/>
    <col min="9" max="9" width="9.7109375" style="48" customWidth="1"/>
    <col min="10" max="14" width="8.8515625" style="378" customWidth="1"/>
    <col min="15" max="15" width="12.7109375" style="378" bestFit="1" customWidth="1"/>
    <col min="16" max="16384" width="8.8515625" style="378" customWidth="1"/>
  </cols>
  <sheetData>
    <row r="1" spans="1:10" ht="12.75" customHeight="1">
      <c r="A1" s="556" t="s">
        <v>1490</v>
      </c>
      <c r="B1" s="557"/>
      <c r="C1" s="558"/>
      <c r="D1" s="557"/>
      <c r="E1" s="559"/>
      <c r="F1" s="557"/>
      <c r="G1" s="558"/>
      <c r="H1" s="560"/>
      <c r="I1" s="560"/>
      <c r="J1" s="262"/>
    </row>
    <row r="2" spans="1:10" ht="12.75" customHeight="1">
      <c r="A2" s="556" t="s">
        <v>1491</v>
      </c>
      <c r="B2" s="557"/>
      <c r="C2" s="558"/>
      <c r="D2" s="557"/>
      <c r="E2" s="559"/>
      <c r="F2" s="557"/>
      <c r="G2" s="558"/>
      <c r="H2" s="560"/>
      <c r="I2" s="560"/>
      <c r="J2" s="262"/>
    </row>
    <row r="3" spans="1:10" ht="12.75" customHeight="1">
      <c r="A3" s="556" t="s">
        <v>110</v>
      </c>
      <c r="B3" s="557"/>
      <c r="C3" s="558"/>
      <c r="D3" s="557"/>
      <c r="E3" s="559"/>
      <c r="F3" s="557"/>
      <c r="G3" s="558"/>
      <c r="H3" s="560"/>
      <c r="I3" s="560"/>
      <c r="J3" s="262"/>
    </row>
    <row r="4" spans="1:10" ht="12.75" customHeight="1">
      <c r="A4" s="556" t="s">
        <v>5</v>
      </c>
      <c r="B4" s="557"/>
      <c r="C4" s="558"/>
      <c r="D4" s="557"/>
      <c r="E4" s="559"/>
      <c r="F4" s="557"/>
      <c r="G4" s="558"/>
      <c r="H4" s="560"/>
      <c r="I4" s="560"/>
      <c r="J4" s="262"/>
    </row>
    <row r="5" spans="1:10" ht="12.75" customHeight="1">
      <c r="A5" s="556" t="s">
        <v>6</v>
      </c>
      <c r="B5" s="557"/>
      <c r="C5" s="558"/>
      <c r="D5" s="557"/>
      <c r="E5" s="561"/>
      <c r="F5" s="557"/>
      <c r="G5" s="558"/>
      <c r="H5" s="560"/>
      <c r="I5" s="560"/>
      <c r="J5" s="262"/>
    </row>
    <row r="6" spans="1:10" ht="12.75" customHeight="1">
      <c r="A6" s="556" t="s">
        <v>111</v>
      </c>
      <c r="B6" s="557"/>
      <c r="C6" s="558"/>
      <c r="D6" s="557"/>
      <c r="E6" s="559"/>
      <c r="F6" s="557"/>
      <c r="G6" s="558"/>
      <c r="H6" s="560"/>
      <c r="I6" s="560"/>
      <c r="J6" s="262"/>
    </row>
    <row r="7" spans="1:10" ht="12.75" customHeight="1">
      <c r="A7" s="556" t="s">
        <v>112</v>
      </c>
      <c r="B7" s="557"/>
      <c r="C7" s="558"/>
      <c r="D7" s="557"/>
      <c r="E7" s="562" t="s">
        <v>113</v>
      </c>
      <c r="F7" s="557"/>
      <c r="G7" s="558"/>
      <c r="H7" s="560"/>
      <c r="I7" s="560"/>
      <c r="J7" s="262"/>
    </row>
    <row r="8" spans="1:10" ht="12.75" customHeight="1">
      <c r="A8" s="563" t="s">
        <v>1492</v>
      </c>
      <c r="B8" s="564"/>
      <c r="C8" s="565"/>
      <c r="D8" s="564"/>
      <c r="E8" s="566"/>
      <c r="F8" s="564"/>
      <c r="G8" s="565"/>
      <c r="H8" s="567"/>
      <c r="I8" s="567"/>
      <c r="J8" s="262"/>
    </row>
    <row r="9" spans="1:10" ht="12.75" customHeight="1">
      <c r="A9" s="509"/>
      <c r="B9" s="568" t="s">
        <v>45</v>
      </c>
      <c r="C9" s="510"/>
      <c r="D9" s="568" t="s">
        <v>46</v>
      </c>
      <c r="E9" s="510"/>
      <c r="F9" s="568"/>
      <c r="G9" s="569" t="s">
        <v>47</v>
      </c>
      <c r="H9" s="511"/>
      <c r="I9" s="511"/>
      <c r="J9" s="262"/>
    </row>
    <row r="10" spans="1:10" ht="12.75" customHeight="1">
      <c r="A10" s="570" t="s">
        <v>461</v>
      </c>
      <c r="B10" s="571" t="s">
        <v>49</v>
      </c>
      <c r="C10" s="572" t="s">
        <v>50</v>
      </c>
      <c r="D10" s="571" t="s">
        <v>49</v>
      </c>
      <c r="E10" s="572" t="s">
        <v>50</v>
      </c>
      <c r="F10" s="571" t="s">
        <v>49</v>
      </c>
      <c r="G10" s="572" t="s">
        <v>50</v>
      </c>
      <c r="H10" s="573" t="s">
        <v>51</v>
      </c>
      <c r="I10" s="573" t="s">
        <v>52</v>
      </c>
      <c r="J10" s="262"/>
    </row>
    <row r="11" spans="1:10" ht="12.75" customHeight="1">
      <c r="A11" s="574" t="s">
        <v>466</v>
      </c>
      <c r="B11" s="511"/>
      <c r="C11" s="569">
        <v>0</v>
      </c>
      <c r="D11" s="568"/>
      <c r="E11" s="569"/>
      <c r="F11" s="568"/>
      <c r="G11" s="569"/>
      <c r="H11" s="578"/>
      <c r="I11" s="578"/>
      <c r="J11" s="262"/>
    </row>
    <row r="12" spans="1:10" ht="12.75" customHeight="1">
      <c r="A12" s="509" t="s">
        <v>14</v>
      </c>
      <c r="B12" s="578">
        <f aca="true" t="shared" si="0" ref="B12:H12">SUM(B11)</f>
        <v>0</v>
      </c>
      <c r="C12" s="569">
        <f t="shared" si="0"/>
        <v>0</v>
      </c>
      <c r="D12" s="568">
        <f t="shared" si="0"/>
        <v>0</v>
      </c>
      <c r="E12" s="569">
        <f t="shared" si="0"/>
        <v>0</v>
      </c>
      <c r="F12" s="568">
        <f t="shared" si="0"/>
        <v>0</v>
      </c>
      <c r="G12" s="569">
        <f t="shared" si="0"/>
        <v>0</v>
      </c>
      <c r="H12" s="578">
        <f t="shared" si="0"/>
        <v>0</v>
      </c>
      <c r="I12" s="578" t="e">
        <f>H12/G12</f>
        <v>#DIV/0!</v>
      </c>
      <c r="J12" s="262"/>
    </row>
    <row r="13" spans="1:10" ht="12.75" customHeight="1">
      <c r="A13" s="570" t="s">
        <v>462</v>
      </c>
      <c r="B13" s="571" t="s">
        <v>49</v>
      </c>
      <c r="C13" s="572" t="s">
        <v>50</v>
      </c>
      <c r="D13" s="571" t="s">
        <v>49</v>
      </c>
      <c r="E13" s="572" t="s">
        <v>50</v>
      </c>
      <c r="F13" s="571" t="s">
        <v>49</v>
      </c>
      <c r="G13" s="572" t="s">
        <v>50</v>
      </c>
      <c r="H13" s="573" t="s">
        <v>51</v>
      </c>
      <c r="I13" s="573" t="s">
        <v>52</v>
      </c>
      <c r="J13" s="262"/>
    </row>
    <row r="14" spans="1:10" ht="12.75" customHeight="1">
      <c r="A14" s="574" t="s">
        <v>53</v>
      </c>
      <c r="B14" s="622">
        <v>140</v>
      </c>
      <c r="C14" s="630">
        <v>6991</v>
      </c>
      <c r="D14" s="622">
        <v>0</v>
      </c>
      <c r="E14" s="631">
        <v>0</v>
      </c>
      <c r="F14" s="622">
        <v>140</v>
      </c>
      <c r="G14" s="632">
        <v>6991</v>
      </c>
      <c r="H14" s="633" t="s">
        <v>1505</v>
      </c>
      <c r="I14" s="634">
        <v>161.32</v>
      </c>
      <c r="J14" s="262"/>
    </row>
    <row r="15" spans="1:10" ht="12.75" customHeight="1">
      <c r="A15" s="574" t="s">
        <v>322</v>
      </c>
      <c r="B15" s="509"/>
      <c r="C15" s="635">
        <v>0</v>
      </c>
      <c r="D15" s="622">
        <v>10</v>
      </c>
      <c r="E15" s="634">
        <v>497.6</v>
      </c>
      <c r="F15" s="622">
        <v>10</v>
      </c>
      <c r="G15" s="634">
        <v>497.6</v>
      </c>
      <c r="H15" s="633" t="s">
        <v>1507</v>
      </c>
      <c r="I15" s="636">
        <v>210</v>
      </c>
      <c r="J15" s="262"/>
    </row>
    <row r="16" spans="1:10" ht="12.75" customHeight="1">
      <c r="A16" s="574" t="s">
        <v>171</v>
      </c>
      <c r="B16" s="509"/>
      <c r="C16" s="635">
        <v>0</v>
      </c>
      <c r="D16" s="622">
        <v>25</v>
      </c>
      <c r="E16" s="637">
        <v>1246.9</v>
      </c>
      <c r="F16" s="622">
        <v>25</v>
      </c>
      <c r="G16" s="637">
        <v>1246.9</v>
      </c>
      <c r="H16" s="633" t="s">
        <v>1508</v>
      </c>
      <c r="I16" s="636">
        <v>94.2</v>
      </c>
      <c r="J16" s="262"/>
    </row>
    <row r="17" spans="1:10" ht="12.75" customHeight="1">
      <c r="A17" s="574" t="s">
        <v>173</v>
      </c>
      <c r="B17" s="509"/>
      <c r="C17" s="635">
        <v>0</v>
      </c>
      <c r="D17" s="622">
        <v>30</v>
      </c>
      <c r="E17" s="637">
        <v>1497.6</v>
      </c>
      <c r="F17" s="622">
        <v>30</v>
      </c>
      <c r="G17" s="637">
        <v>1497.6</v>
      </c>
      <c r="H17" s="633" t="s">
        <v>1512</v>
      </c>
      <c r="I17" s="634">
        <v>101.67</v>
      </c>
      <c r="J17" s="262"/>
    </row>
    <row r="18" spans="1:10" ht="12.75" customHeight="1">
      <c r="A18" s="574" t="s">
        <v>57</v>
      </c>
      <c r="B18" s="622">
        <v>10</v>
      </c>
      <c r="C18" s="638">
        <v>498.5</v>
      </c>
      <c r="D18" s="622">
        <v>0</v>
      </c>
      <c r="E18" s="631">
        <v>0</v>
      </c>
      <c r="F18" s="622">
        <v>10</v>
      </c>
      <c r="G18" s="634">
        <v>498.5</v>
      </c>
      <c r="H18" s="633">
        <v>52841</v>
      </c>
      <c r="I18" s="636">
        <v>106</v>
      </c>
      <c r="J18" s="262"/>
    </row>
    <row r="19" spans="1:10" ht="12.75" customHeight="1">
      <c r="A19" s="574" t="s">
        <v>174</v>
      </c>
      <c r="B19" s="622">
        <v>30</v>
      </c>
      <c r="C19" s="630">
        <v>1497</v>
      </c>
      <c r="D19" s="622">
        <v>0</v>
      </c>
      <c r="E19" s="631">
        <v>0</v>
      </c>
      <c r="F19" s="622">
        <v>30</v>
      </c>
      <c r="G19" s="632">
        <v>1497</v>
      </c>
      <c r="H19" s="633" t="s">
        <v>1509</v>
      </c>
      <c r="I19" s="634">
        <v>88.33</v>
      </c>
      <c r="J19" s="262"/>
    </row>
    <row r="20" spans="1:10" ht="12.75" customHeight="1">
      <c r="A20" s="574" t="s">
        <v>176</v>
      </c>
      <c r="B20" s="622">
        <v>130</v>
      </c>
      <c r="C20" s="630">
        <v>6485</v>
      </c>
      <c r="D20" s="622">
        <v>0</v>
      </c>
      <c r="E20" s="631">
        <v>0</v>
      </c>
      <c r="F20" s="622">
        <v>130</v>
      </c>
      <c r="G20" s="632">
        <v>6485</v>
      </c>
      <c r="H20" s="633" t="s">
        <v>1510</v>
      </c>
      <c r="I20" s="636">
        <v>143</v>
      </c>
      <c r="J20" s="262"/>
    </row>
    <row r="21" spans="1:10" ht="12.75" customHeight="1">
      <c r="A21" s="574" t="s">
        <v>475</v>
      </c>
      <c r="B21" s="622">
        <v>110</v>
      </c>
      <c r="C21" s="639">
        <v>5486.5</v>
      </c>
      <c r="D21" s="622">
        <v>0</v>
      </c>
      <c r="E21" s="631">
        <v>0</v>
      </c>
      <c r="F21" s="622">
        <v>110</v>
      </c>
      <c r="G21" s="637">
        <v>5486.5</v>
      </c>
      <c r="H21" s="633" t="s">
        <v>1513</v>
      </c>
      <c r="I21" s="634">
        <v>190.65</v>
      </c>
      <c r="J21" s="262"/>
    </row>
    <row r="22" spans="1:10" ht="12.75" customHeight="1">
      <c r="A22" s="574" t="s">
        <v>872</v>
      </c>
      <c r="B22" s="509"/>
      <c r="C22" s="635">
        <v>0</v>
      </c>
      <c r="D22" s="622">
        <v>30</v>
      </c>
      <c r="E22" s="637">
        <v>1497.6</v>
      </c>
      <c r="F22" s="622">
        <v>30</v>
      </c>
      <c r="G22" s="637">
        <v>1497.6</v>
      </c>
      <c r="H22" s="633" t="s">
        <v>1500</v>
      </c>
      <c r="I22" s="634">
        <v>110.67</v>
      </c>
      <c r="J22" s="262"/>
    </row>
    <row r="23" spans="1:10" ht="12.75" customHeight="1">
      <c r="A23" s="574" t="s">
        <v>67</v>
      </c>
      <c r="B23" s="622">
        <v>20</v>
      </c>
      <c r="C23" s="635">
        <v>997</v>
      </c>
      <c r="D23" s="622">
        <v>0</v>
      </c>
      <c r="E23" s="631">
        <v>0</v>
      </c>
      <c r="F23" s="622">
        <v>20</v>
      </c>
      <c r="G23" s="631">
        <v>997</v>
      </c>
      <c r="H23" s="633">
        <v>99700</v>
      </c>
      <c r="I23" s="636">
        <v>100</v>
      </c>
      <c r="J23" s="262"/>
    </row>
    <row r="24" spans="1:10" ht="12.75" customHeight="1">
      <c r="A24" s="574" t="s">
        <v>71</v>
      </c>
      <c r="B24" s="622">
        <v>640</v>
      </c>
      <c r="C24" s="639">
        <v>31947.5</v>
      </c>
      <c r="D24" s="622">
        <v>240</v>
      </c>
      <c r="E24" s="637">
        <v>11980.8</v>
      </c>
      <c r="F24" s="622">
        <v>880</v>
      </c>
      <c r="G24" s="637">
        <v>43928.3</v>
      </c>
      <c r="H24" s="633" t="s">
        <v>1506</v>
      </c>
      <c r="I24" s="634">
        <v>176.96</v>
      </c>
      <c r="J24" s="262"/>
    </row>
    <row r="25" spans="1:10" ht="12.75" customHeight="1">
      <c r="A25" s="574" t="s">
        <v>1019</v>
      </c>
      <c r="B25" s="509"/>
      <c r="C25" s="635">
        <v>0</v>
      </c>
      <c r="D25" s="622">
        <v>20</v>
      </c>
      <c r="E25" s="634">
        <v>998.4</v>
      </c>
      <c r="F25" s="622">
        <v>20</v>
      </c>
      <c r="G25" s="634">
        <v>998.4</v>
      </c>
      <c r="H25" s="633" t="s">
        <v>1501</v>
      </c>
      <c r="I25" s="636">
        <v>112.5</v>
      </c>
      <c r="J25" s="262"/>
    </row>
    <row r="26" spans="1:10" ht="12.75" customHeight="1">
      <c r="A26" s="574" t="s">
        <v>75</v>
      </c>
      <c r="B26" s="622">
        <v>40</v>
      </c>
      <c r="C26" s="639">
        <v>1992.5</v>
      </c>
      <c r="D26" s="622">
        <v>0</v>
      </c>
      <c r="E26" s="631">
        <v>0</v>
      </c>
      <c r="F26" s="622">
        <v>40</v>
      </c>
      <c r="G26" s="637">
        <v>1992.5</v>
      </c>
      <c r="H26" s="633" t="s">
        <v>1504</v>
      </c>
      <c r="I26" s="634">
        <v>173.23</v>
      </c>
      <c r="J26" s="262"/>
    </row>
    <row r="27" spans="1:10" ht="12.75" customHeight="1">
      <c r="A27" s="574" t="s">
        <v>77</v>
      </c>
      <c r="B27" s="622">
        <v>10</v>
      </c>
      <c r="C27" s="638">
        <v>498.5</v>
      </c>
      <c r="D27" s="622">
        <v>20</v>
      </c>
      <c r="E27" s="634">
        <v>998.4</v>
      </c>
      <c r="F27" s="622">
        <v>30</v>
      </c>
      <c r="G27" s="637">
        <v>1496.9</v>
      </c>
      <c r="H27" s="633" t="s">
        <v>1502</v>
      </c>
      <c r="I27" s="634">
        <v>95.68</v>
      </c>
      <c r="J27" s="262"/>
    </row>
    <row r="28" spans="1:10" ht="12.75" customHeight="1">
      <c r="A28" s="574" t="s">
        <v>144</v>
      </c>
      <c r="B28" s="622">
        <v>10</v>
      </c>
      <c r="C28" s="635">
        <v>497</v>
      </c>
      <c r="D28" s="622">
        <v>0</v>
      </c>
      <c r="E28" s="631">
        <v>0</v>
      </c>
      <c r="F28" s="622">
        <v>10</v>
      </c>
      <c r="G28" s="631">
        <v>497</v>
      </c>
      <c r="H28" s="633">
        <v>36778</v>
      </c>
      <c r="I28" s="636">
        <v>74</v>
      </c>
      <c r="J28" s="262"/>
    </row>
    <row r="29" spans="1:10" ht="12.75" customHeight="1">
      <c r="A29" s="574" t="s">
        <v>81</v>
      </c>
      <c r="B29" s="622">
        <f>30+80</f>
        <v>110</v>
      </c>
      <c r="C29" s="639">
        <f>1495.5+3986.5</f>
        <v>5482</v>
      </c>
      <c r="D29" s="622">
        <v>0</v>
      </c>
      <c r="E29" s="631">
        <v>0</v>
      </c>
      <c r="F29" s="622">
        <f>30+80</f>
        <v>110</v>
      </c>
      <c r="G29" s="637">
        <f>1495.5+3986.5</f>
        <v>5482</v>
      </c>
      <c r="H29" s="633">
        <f>149051.5+480336.5</f>
        <v>629388</v>
      </c>
      <c r="I29" s="636">
        <f>H29/G29</f>
        <v>114.80992338562568</v>
      </c>
      <c r="J29" s="262"/>
    </row>
    <row r="30" spans="1:10" ht="12.75" customHeight="1">
      <c r="A30" s="574" t="s">
        <v>83</v>
      </c>
      <c r="B30" s="622">
        <v>10</v>
      </c>
      <c r="C30" s="638">
        <v>498.5</v>
      </c>
      <c r="D30" s="622">
        <v>0</v>
      </c>
      <c r="E30" s="631">
        <v>0</v>
      </c>
      <c r="F30" s="622">
        <v>10</v>
      </c>
      <c r="G30" s="634">
        <v>498.5</v>
      </c>
      <c r="H30" s="633">
        <v>49351.5</v>
      </c>
      <c r="I30" s="636">
        <v>99</v>
      </c>
      <c r="J30" s="262"/>
    </row>
    <row r="31" spans="1:10" ht="12.75" customHeight="1">
      <c r="A31" s="574" t="s">
        <v>85</v>
      </c>
      <c r="B31" s="509"/>
      <c r="C31" s="635">
        <v>0</v>
      </c>
      <c r="D31" s="622">
        <v>20</v>
      </c>
      <c r="E31" s="634">
        <v>998.4</v>
      </c>
      <c r="F31" s="622">
        <v>20</v>
      </c>
      <c r="G31" s="634">
        <v>998.4</v>
      </c>
      <c r="H31" s="633" t="s">
        <v>1511</v>
      </c>
      <c r="I31" s="636">
        <v>212</v>
      </c>
      <c r="J31" s="262"/>
    </row>
    <row r="32" spans="1:10" ht="12.75" customHeight="1">
      <c r="A32" s="574" t="s">
        <v>150</v>
      </c>
      <c r="B32" s="622">
        <v>20</v>
      </c>
      <c r="C32" s="635">
        <v>994</v>
      </c>
      <c r="D32" s="622">
        <v>0</v>
      </c>
      <c r="E32" s="631">
        <v>0</v>
      </c>
      <c r="F32" s="622">
        <v>20</v>
      </c>
      <c r="G32" s="631">
        <v>994</v>
      </c>
      <c r="H32" s="633" t="s">
        <v>1514</v>
      </c>
      <c r="I32" s="634">
        <v>137.31</v>
      </c>
      <c r="J32" s="262"/>
    </row>
    <row r="33" spans="1:10" ht="12.75" customHeight="1">
      <c r="A33" s="574" t="s">
        <v>229</v>
      </c>
      <c r="B33" s="622">
        <v>30</v>
      </c>
      <c r="C33" s="630">
        <v>1494</v>
      </c>
      <c r="D33" s="622">
        <v>0</v>
      </c>
      <c r="E33" s="631">
        <v>0</v>
      </c>
      <c r="F33" s="622">
        <v>30</v>
      </c>
      <c r="G33" s="632">
        <v>1494</v>
      </c>
      <c r="H33" s="633" t="s">
        <v>1499</v>
      </c>
      <c r="I33" s="634">
        <v>68.99</v>
      </c>
      <c r="J33" s="262"/>
    </row>
    <row r="34" spans="1:10" ht="12.75" customHeight="1">
      <c r="A34" s="574" t="s">
        <v>187</v>
      </c>
      <c r="B34" s="622">
        <v>80</v>
      </c>
      <c r="C34" s="630">
        <v>3997</v>
      </c>
      <c r="D34" s="622">
        <v>0</v>
      </c>
      <c r="E34" s="631">
        <v>0</v>
      </c>
      <c r="F34" s="622">
        <v>80</v>
      </c>
      <c r="G34" s="632">
        <v>3997</v>
      </c>
      <c r="H34" s="633" t="s">
        <v>1503</v>
      </c>
      <c r="I34" s="634">
        <v>76.87</v>
      </c>
      <c r="J34" s="262"/>
    </row>
    <row r="35" spans="1:10" ht="12.75" customHeight="1">
      <c r="A35" s="574" t="s">
        <v>266</v>
      </c>
      <c r="B35" s="509"/>
      <c r="C35" s="635">
        <v>0</v>
      </c>
      <c r="D35" s="622">
        <v>20</v>
      </c>
      <c r="E35" s="634">
        <v>998.4</v>
      </c>
      <c r="F35" s="622">
        <v>20</v>
      </c>
      <c r="G35" s="634">
        <v>998.4</v>
      </c>
      <c r="H35" s="633" t="s">
        <v>1166</v>
      </c>
      <c r="I35" s="636">
        <v>145</v>
      </c>
      <c r="J35" s="262"/>
    </row>
    <row r="36" spans="1:10" ht="12.75" customHeight="1">
      <c r="A36" s="574" t="s">
        <v>1068</v>
      </c>
      <c r="B36" s="622">
        <v>10</v>
      </c>
      <c r="C36" s="638">
        <v>498.5</v>
      </c>
      <c r="D36" s="622">
        <v>0</v>
      </c>
      <c r="E36" s="631">
        <v>0</v>
      </c>
      <c r="F36" s="622">
        <v>10</v>
      </c>
      <c r="G36" s="634">
        <v>498.5</v>
      </c>
      <c r="H36" s="633">
        <v>59820</v>
      </c>
      <c r="I36" s="636">
        <v>120</v>
      </c>
      <c r="J36" s="262"/>
    </row>
    <row r="37" spans="1:10" ht="12.75" customHeight="1">
      <c r="A37" s="574" t="s">
        <v>99</v>
      </c>
      <c r="B37" s="622">
        <v>10</v>
      </c>
      <c r="C37" s="635">
        <v>500</v>
      </c>
      <c r="D37" s="622">
        <v>0</v>
      </c>
      <c r="E37" s="631">
        <v>0</v>
      </c>
      <c r="F37" s="622">
        <v>10</v>
      </c>
      <c r="G37" s="631">
        <v>500</v>
      </c>
      <c r="H37" s="633">
        <v>37000</v>
      </c>
      <c r="I37" s="636">
        <v>74</v>
      </c>
      <c r="J37" s="262"/>
    </row>
    <row r="38" spans="1:10" ht="12.75" customHeight="1">
      <c r="A38" s="574" t="s">
        <v>1340</v>
      </c>
      <c r="B38" s="646">
        <v>10</v>
      </c>
      <c r="C38" s="652">
        <v>498.5</v>
      </c>
      <c r="D38" s="646">
        <v>0</v>
      </c>
      <c r="E38" s="647">
        <v>0</v>
      </c>
      <c r="F38" s="646">
        <v>10</v>
      </c>
      <c r="G38" s="653">
        <v>498.5</v>
      </c>
      <c r="H38" s="654">
        <v>51345.5</v>
      </c>
      <c r="I38" s="655">
        <v>103</v>
      </c>
      <c r="J38" s="262"/>
    </row>
    <row r="39" spans="1:10" ht="12.75" customHeight="1">
      <c r="A39" s="574" t="s">
        <v>14</v>
      </c>
      <c r="B39" s="656">
        <v>1420</v>
      </c>
      <c r="C39" s="657">
        <v>70853</v>
      </c>
      <c r="D39" s="646">
        <v>415</v>
      </c>
      <c r="E39" s="658">
        <v>20714.1</v>
      </c>
      <c r="F39" s="656">
        <v>1835</v>
      </c>
      <c r="G39" s="658">
        <v>91567.1</v>
      </c>
      <c r="H39" s="654" t="s">
        <v>1515</v>
      </c>
      <c r="I39" s="653">
        <v>153.62</v>
      </c>
      <c r="J39" s="262"/>
    </row>
    <row r="40" spans="1:9" ht="12.75" customHeight="1">
      <c r="A40" s="574"/>
      <c r="B40" s="623"/>
      <c r="C40" s="569"/>
      <c r="D40" s="622"/>
      <c r="E40" s="577"/>
      <c r="F40" s="623"/>
      <c r="G40" s="569"/>
      <c r="H40" s="578"/>
      <c r="I40" s="578"/>
    </row>
    <row r="41" spans="1:9" ht="12.75" customHeight="1">
      <c r="A41" s="581"/>
      <c r="B41" s="568"/>
      <c r="C41" s="569"/>
      <c r="D41" s="568"/>
      <c r="E41" s="569"/>
      <c r="F41" s="568"/>
      <c r="G41" s="569"/>
      <c r="H41" s="578"/>
      <c r="I41" s="578"/>
    </row>
    <row r="42" spans="1:9" ht="12.75" customHeight="1">
      <c r="A42" s="570"/>
      <c r="B42" s="512"/>
      <c r="C42" s="510"/>
      <c r="D42" s="512"/>
      <c r="E42" s="580"/>
      <c r="F42" s="580"/>
      <c r="G42" s="513"/>
      <c r="H42" s="582"/>
      <c r="I42" s="510" t="s">
        <v>119</v>
      </c>
    </row>
    <row r="43" spans="1:9" ht="12.75" customHeight="1">
      <c r="A43" s="570"/>
      <c r="B43" s="512"/>
      <c r="C43" s="510"/>
      <c r="D43" s="512"/>
      <c r="E43" s="580"/>
      <c r="F43" s="580"/>
      <c r="G43" s="513"/>
      <c r="H43" s="513"/>
      <c r="I43" s="583" t="s">
        <v>121</v>
      </c>
    </row>
    <row r="44" spans="1:9" ht="12.75" customHeight="1">
      <c r="A44" s="556" t="s">
        <v>117</v>
      </c>
      <c r="B44" s="512"/>
      <c r="C44" s="510"/>
      <c r="D44" s="512"/>
      <c r="E44" s="513"/>
      <c r="F44" s="512"/>
      <c r="G44" s="510"/>
      <c r="H44" s="511"/>
      <c r="I44" s="511"/>
    </row>
    <row r="45" spans="1:9" ht="12.75" customHeight="1">
      <c r="A45" s="556" t="s">
        <v>118</v>
      </c>
      <c r="B45" s="512"/>
      <c r="C45" s="510"/>
      <c r="D45" s="512"/>
      <c r="E45" s="513"/>
      <c r="F45" s="512"/>
      <c r="G45" s="510"/>
      <c r="H45" s="511"/>
      <c r="I45" s="511"/>
    </row>
    <row r="46" spans="1:9" ht="12.75" customHeight="1">
      <c r="A46" s="556" t="s">
        <v>120</v>
      </c>
      <c r="B46" s="512"/>
      <c r="C46" s="510"/>
      <c r="D46" s="512"/>
      <c r="E46" s="513"/>
      <c r="F46" s="512"/>
      <c r="G46" s="510"/>
      <c r="H46" s="511"/>
      <c r="I46" s="511"/>
    </row>
    <row r="47" spans="1:9" ht="12.75" customHeight="1">
      <c r="A47" s="556" t="s">
        <v>122</v>
      </c>
      <c r="B47" s="512"/>
      <c r="C47" s="510"/>
      <c r="D47" s="512"/>
      <c r="E47" s="513"/>
      <c r="F47" s="512"/>
      <c r="G47" s="510"/>
      <c r="H47" s="511"/>
      <c r="I47" s="511"/>
    </row>
    <row r="48" spans="1:9" ht="12.75" customHeight="1">
      <c r="A48" s="556" t="s">
        <v>123</v>
      </c>
      <c r="B48" s="512"/>
      <c r="C48" s="510"/>
      <c r="D48" s="512"/>
      <c r="E48" s="513"/>
      <c r="F48" s="512"/>
      <c r="G48" s="510"/>
      <c r="H48" s="511"/>
      <c r="I48" s="511"/>
    </row>
  </sheetData>
  <sheetProtection/>
  <printOptions/>
  <pageMargins left="0.7" right="0.29" top="0.83" bottom="0.5" header="0.3" footer="0.3"/>
  <pageSetup horizontalDpi="600" verticalDpi="600" orientation="portrait" scale="85" r:id="rId1"/>
  <headerFooter>
    <oddHeader>&amp;L&amp;D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M19" sqref="M19"/>
    </sheetView>
  </sheetViews>
  <sheetFormatPr defaultColWidth="9.140625" defaultRowHeight="12.75" customHeight="1"/>
  <cols>
    <col min="1" max="1" width="29.140625" style="378" customWidth="1"/>
    <col min="2" max="2" width="7.8515625" style="31" customWidth="1"/>
    <col min="3" max="3" width="10.57421875" style="360" customWidth="1"/>
    <col min="4" max="4" width="6.28125" style="31" customWidth="1"/>
    <col min="5" max="5" width="10.28125" style="244" customWidth="1"/>
    <col min="6" max="6" width="7.8515625" style="31" customWidth="1"/>
    <col min="7" max="7" width="11.28125" style="360" customWidth="1"/>
    <col min="8" max="8" width="15.8515625" style="48" customWidth="1"/>
    <col min="9" max="9" width="9.7109375" style="48" customWidth="1"/>
    <col min="10" max="14" width="8.8515625" style="378" customWidth="1"/>
    <col min="15" max="15" width="12.7109375" style="378" bestFit="1" customWidth="1"/>
    <col min="16" max="16384" width="8.8515625" style="378" customWidth="1"/>
  </cols>
  <sheetData>
    <row r="1" spans="1:10" ht="12.75" customHeight="1">
      <c r="A1" s="556" t="s">
        <v>1493</v>
      </c>
      <c r="B1" s="557"/>
      <c r="C1" s="558"/>
      <c r="D1" s="557"/>
      <c r="E1" s="559"/>
      <c r="F1" s="557"/>
      <c r="G1" s="558"/>
      <c r="H1" s="560"/>
      <c r="I1" s="560"/>
      <c r="J1" s="262"/>
    </row>
    <row r="2" spans="1:10" ht="12.75" customHeight="1">
      <c r="A2" s="556" t="s">
        <v>1491</v>
      </c>
      <c r="B2" s="557"/>
      <c r="C2" s="558"/>
      <c r="D2" s="557"/>
      <c r="E2" s="559"/>
      <c r="F2" s="557"/>
      <c r="G2" s="558"/>
      <c r="H2" s="560"/>
      <c r="I2" s="560"/>
      <c r="J2" s="262"/>
    </row>
    <row r="3" spans="1:10" ht="12.75" customHeight="1">
      <c r="A3" s="556" t="s">
        <v>110</v>
      </c>
      <c r="B3" s="557"/>
      <c r="C3" s="558"/>
      <c r="D3" s="557"/>
      <c r="E3" s="559"/>
      <c r="F3" s="557"/>
      <c r="G3" s="558"/>
      <c r="H3" s="560"/>
      <c r="I3" s="560"/>
      <c r="J3" s="262"/>
    </row>
    <row r="4" spans="1:10" ht="12.75" customHeight="1">
      <c r="A4" s="556" t="s">
        <v>5</v>
      </c>
      <c r="B4" s="557"/>
      <c r="C4" s="558"/>
      <c r="D4" s="557"/>
      <c r="E4" s="559"/>
      <c r="F4" s="557"/>
      <c r="G4" s="558"/>
      <c r="H4" s="560"/>
      <c r="I4" s="560"/>
      <c r="J4" s="262"/>
    </row>
    <row r="5" spans="1:10" ht="12.75" customHeight="1">
      <c r="A5" s="556" t="s">
        <v>6</v>
      </c>
      <c r="B5" s="557"/>
      <c r="C5" s="558"/>
      <c r="D5" s="557"/>
      <c r="E5" s="561"/>
      <c r="F5" s="557"/>
      <c r="G5" s="558"/>
      <c r="H5" s="560"/>
      <c r="I5" s="560"/>
      <c r="J5" s="262"/>
    </row>
    <row r="6" spans="1:10" ht="12.75" customHeight="1">
      <c r="A6" s="556" t="s">
        <v>111</v>
      </c>
      <c r="B6" s="557"/>
      <c r="C6" s="558"/>
      <c r="D6" s="557"/>
      <c r="E6" s="559"/>
      <c r="F6" s="557"/>
      <c r="G6" s="558"/>
      <c r="H6" s="560"/>
      <c r="I6" s="560"/>
      <c r="J6" s="262"/>
    </row>
    <row r="7" spans="1:10" ht="12.75" customHeight="1">
      <c r="A7" s="556" t="s">
        <v>112</v>
      </c>
      <c r="B7" s="557"/>
      <c r="C7" s="558"/>
      <c r="D7" s="557"/>
      <c r="E7" s="562" t="s">
        <v>113</v>
      </c>
      <c r="F7" s="557"/>
      <c r="G7" s="558"/>
      <c r="H7" s="560"/>
      <c r="I7" s="560"/>
      <c r="J7" s="262"/>
    </row>
    <row r="8" spans="1:10" ht="12.75" customHeight="1">
      <c r="A8" s="563" t="s">
        <v>1494</v>
      </c>
      <c r="B8" s="564"/>
      <c r="C8" s="565"/>
      <c r="D8" s="564"/>
      <c r="E8" s="566"/>
      <c r="F8" s="564"/>
      <c r="G8" s="565"/>
      <c r="H8" s="567"/>
      <c r="I8" s="567"/>
      <c r="J8" s="262"/>
    </row>
    <row r="9" spans="1:10" ht="12.75" customHeight="1">
      <c r="A9" s="509"/>
      <c r="B9" s="568" t="s">
        <v>45</v>
      </c>
      <c r="C9" s="510"/>
      <c r="D9" s="568" t="s">
        <v>46</v>
      </c>
      <c r="E9" s="510"/>
      <c r="F9" s="568"/>
      <c r="G9" s="569" t="s">
        <v>47</v>
      </c>
      <c r="H9" s="511"/>
      <c r="I9" s="511"/>
      <c r="J9" s="262"/>
    </row>
    <row r="10" spans="1:10" ht="12.75" customHeight="1">
      <c r="A10" s="570" t="s">
        <v>461</v>
      </c>
      <c r="B10" s="571" t="s">
        <v>49</v>
      </c>
      <c r="C10" s="572" t="s">
        <v>50</v>
      </c>
      <c r="D10" s="571" t="s">
        <v>49</v>
      </c>
      <c r="E10" s="572" t="s">
        <v>50</v>
      </c>
      <c r="F10" s="571" t="s">
        <v>49</v>
      </c>
      <c r="G10" s="572" t="s">
        <v>50</v>
      </c>
      <c r="H10" s="573" t="s">
        <v>51</v>
      </c>
      <c r="I10" s="573" t="s">
        <v>52</v>
      </c>
      <c r="J10" s="262"/>
    </row>
    <row r="11" spans="1:10" ht="12.75" customHeight="1">
      <c r="A11" s="574" t="s">
        <v>466</v>
      </c>
      <c r="B11" s="511"/>
      <c r="C11" s="569">
        <v>0</v>
      </c>
      <c r="D11" s="568"/>
      <c r="E11" s="569"/>
      <c r="F11" s="568"/>
      <c r="G11" s="569"/>
      <c r="H11" s="578"/>
      <c r="I11" s="578"/>
      <c r="J11" s="262"/>
    </row>
    <row r="12" spans="1:10" ht="12.75" customHeight="1">
      <c r="A12" s="509" t="s">
        <v>14</v>
      </c>
      <c r="B12" s="578">
        <f aca="true" t="shared" si="0" ref="B12:H12">SUM(B11)</f>
        <v>0</v>
      </c>
      <c r="C12" s="569">
        <f t="shared" si="0"/>
        <v>0</v>
      </c>
      <c r="D12" s="568">
        <f t="shared" si="0"/>
        <v>0</v>
      </c>
      <c r="E12" s="569">
        <f t="shared" si="0"/>
        <v>0</v>
      </c>
      <c r="F12" s="568">
        <f t="shared" si="0"/>
        <v>0</v>
      </c>
      <c r="G12" s="569">
        <f t="shared" si="0"/>
        <v>0</v>
      </c>
      <c r="H12" s="578">
        <f t="shared" si="0"/>
        <v>0</v>
      </c>
      <c r="I12" s="578" t="e">
        <f>H12/G12</f>
        <v>#DIV/0!</v>
      </c>
      <c r="J12" s="262"/>
    </row>
    <row r="13" spans="1:10" ht="12.75" customHeight="1">
      <c r="A13" s="570" t="s">
        <v>462</v>
      </c>
      <c r="B13" s="571" t="s">
        <v>49</v>
      </c>
      <c r="C13" s="572" t="s">
        <v>50</v>
      </c>
      <c r="D13" s="571" t="s">
        <v>49</v>
      </c>
      <c r="E13" s="572" t="s">
        <v>50</v>
      </c>
      <c r="F13" s="571" t="s">
        <v>49</v>
      </c>
      <c r="G13" s="572" t="s">
        <v>50</v>
      </c>
      <c r="H13" s="573" t="s">
        <v>51</v>
      </c>
      <c r="I13" s="573" t="s">
        <v>52</v>
      </c>
      <c r="J13" s="262"/>
    </row>
    <row r="14" spans="1:10" ht="12.75" customHeight="1">
      <c r="A14" s="574" t="s">
        <v>53</v>
      </c>
      <c r="B14" s="642">
        <v>30</v>
      </c>
      <c r="C14" s="641">
        <v>1497</v>
      </c>
      <c r="D14" s="622">
        <v>0</v>
      </c>
      <c r="E14" s="631">
        <v>0</v>
      </c>
      <c r="F14" s="576">
        <v>30</v>
      </c>
      <c r="G14" s="577">
        <v>1497</v>
      </c>
      <c r="H14" s="640">
        <v>115266</v>
      </c>
      <c r="I14" s="640">
        <f>H14/G14</f>
        <v>76.99799599198397</v>
      </c>
      <c r="J14" s="262"/>
    </row>
    <row r="15" spans="1:10" ht="12.75" customHeight="1">
      <c r="A15" s="574" t="s">
        <v>71</v>
      </c>
      <c r="B15" s="644">
        <v>100</v>
      </c>
      <c r="C15" s="645">
        <v>4992.5</v>
      </c>
      <c r="D15" s="646">
        <v>0</v>
      </c>
      <c r="E15" s="647">
        <v>0</v>
      </c>
      <c r="F15" s="648">
        <v>100</v>
      </c>
      <c r="G15" s="649">
        <v>4992.5</v>
      </c>
      <c r="H15" s="650">
        <v>923710</v>
      </c>
      <c r="I15" s="650">
        <f>H15/G15</f>
        <v>185.0195292939409</v>
      </c>
      <c r="J15" s="262"/>
    </row>
    <row r="16" spans="1:10" ht="12.75" customHeight="1">
      <c r="A16" s="581" t="s">
        <v>14</v>
      </c>
      <c r="B16" s="643">
        <f>B15+B14</f>
        <v>130</v>
      </c>
      <c r="C16" s="572">
        <f aca="true" t="shared" si="1" ref="C16:H16">SUM(C14:C15)</f>
        <v>6489.5</v>
      </c>
      <c r="D16" s="571">
        <f t="shared" si="1"/>
        <v>0</v>
      </c>
      <c r="E16" s="651">
        <f t="shared" si="1"/>
        <v>0</v>
      </c>
      <c r="F16" s="571">
        <f t="shared" si="1"/>
        <v>130</v>
      </c>
      <c r="G16" s="572">
        <f t="shared" si="1"/>
        <v>6489.5</v>
      </c>
      <c r="H16" s="650">
        <f t="shared" si="1"/>
        <v>1038976</v>
      </c>
      <c r="I16" s="650">
        <f>H16/G16</f>
        <v>160.10108637029046</v>
      </c>
      <c r="J16" s="262"/>
    </row>
    <row r="17" spans="1:10" ht="12.75" customHeight="1">
      <c r="A17" s="574"/>
      <c r="B17" s="623"/>
      <c r="C17" s="569"/>
      <c r="D17" s="622"/>
      <c r="E17" s="577"/>
      <c r="F17" s="623"/>
      <c r="G17" s="569"/>
      <c r="H17" s="578"/>
      <c r="I17" s="578"/>
      <c r="J17" s="262"/>
    </row>
    <row r="18" spans="1:10" ht="12.75" customHeight="1">
      <c r="A18" s="581"/>
      <c r="B18" s="568"/>
      <c r="C18" s="569"/>
      <c r="D18" s="568"/>
      <c r="E18" s="569"/>
      <c r="F18" s="568"/>
      <c r="G18" s="569"/>
      <c r="H18" s="578"/>
      <c r="I18" s="578"/>
      <c r="J18" s="262"/>
    </row>
    <row r="19" spans="1:9" ht="12.75" customHeight="1">
      <c r="A19" s="570"/>
      <c r="B19" s="512"/>
      <c r="C19" s="510"/>
      <c r="D19" s="512"/>
      <c r="E19" s="580"/>
      <c r="F19" s="580"/>
      <c r="G19" s="513"/>
      <c r="H19" s="582"/>
      <c r="I19" s="510" t="s">
        <v>119</v>
      </c>
    </row>
    <row r="20" spans="1:9" ht="12.75" customHeight="1">
      <c r="A20" s="570"/>
      <c r="B20" s="512"/>
      <c r="C20" s="510"/>
      <c r="D20" s="512"/>
      <c r="E20" s="580"/>
      <c r="F20" s="580"/>
      <c r="G20" s="513"/>
      <c r="H20" s="513"/>
      <c r="I20" s="583" t="s">
        <v>121</v>
      </c>
    </row>
    <row r="21" spans="1:9" ht="12.75" customHeight="1">
      <c r="A21" s="556" t="s">
        <v>117</v>
      </c>
      <c r="B21" s="512"/>
      <c r="C21" s="510"/>
      <c r="D21" s="512"/>
      <c r="E21" s="513"/>
      <c r="F21" s="512"/>
      <c r="G21" s="510"/>
      <c r="H21" s="511"/>
      <c r="I21" s="511"/>
    </row>
    <row r="22" spans="1:9" ht="12.75" customHeight="1">
      <c r="A22" s="556" t="s">
        <v>118</v>
      </c>
      <c r="B22" s="512"/>
      <c r="C22" s="510"/>
      <c r="D22" s="512"/>
      <c r="E22" s="513"/>
      <c r="F22" s="512"/>
      <c r="G22" s="510"/>
      <c r="H22" s="511"/>
      <c r="I22" s="511"/>
    </row>
    <row r="23" spans="1:9" ht="12.75" customHeight="1">
      <c r="A23" s="556" t="s">
        <v>120</v>
      </c>
      <c r="B23" s="512"/>
      <c r="C23" s="510"/>
      <c r="D23" s="512"/>
      <c r="E23" s="513"/>
      <c r="F23" s="512"/>
      <c r="G23" s="510"/>
      <c r="H23" s="511"/>
      <c r="I23" s="511"/>
    </row>
    <row r="24" spans="1:9" ht="12.75" customHeight="1">
      <c r="A24" s="556" t="s">
        <v>122</v>
      </c>
      <c r="B24" s="512"/>
      <c r="C24" s="510"/>
      <c r="D24" s="512"/>
      <c r="E24" s="513"/>
      <c r="F24" s="512"/>
      <c r="G24" s="510"/>
      <c r="H24" s="511"/>
      <c r="I24" s="511"/>
    </row>
    <row r="25" spans="1:9" ht="12.75" customHeight="1">
      <c r="A25" s="556" t="s">
        <v>123</v>
      </c>
      <c r="B25" s="512"/>
      <c r="C25" s="510"/>
      <c r="D25" s="512"/>
      <c r="E25" s="513"/>
      <c r="F25" s="512"/>
      <c r="G25" s="510"/>
      <c r="H25" s="511"/>
      <c r="I25" s="511"/>
    </row>
    <row r="26" spans="1:9" ht="12.75" customHeight="1">
      <c r="A26" s="114"/>
      <c r="B26" s="355"/>
      <c r="C26" s="342"/>
      <c r="D26" s="355"/>
      <c r="E26" s="117"/>
      <c r="F26" s="355"/>
      <c r="G26" s="342"/>
      <c r="H26" s="118"/>
      <c r="I26" s="118"/>
    </row>
    <row r="27" spans="1:9" ht="12.75" customHeight="1">
      <c r="A27" s="114"/>
      <c r="B27" s="355"/>
      <c r="C27" s="342"/>
      <c r="D27" s="355"/>
      <c r="E27" s="117"/>
      <c r="F27" s="355"/>
      <c r="G27" s="342"/>
      <c r="H27" s="118"/>
      <c r="I27" s="118"/>
    </row>
    <row r="28" spans="1:9" ht="12.75" customHeight="1">
      <c r="A28" s="114"/>
      <c r="B28" s="355"/>
      <c r="C28" s="342"/>
      <c r="D28" s="355"/>
      <c r="E28" s="117"/>
      <c r="F28" s="355"/>
      <c r="G28" s="342"/>
      <c r="H28" s="118"/>
      <c r="I28" s="118"/>
    </row>
    <row r="29" spans="1:9" ht="12.75" customHeight="1">
      <c r="A29" s="114"/>
      <c r="B29" s="355"/>
      <c r="C29" s="342"/>
      <c r="D29" s="355"/>
      <c r="E29" s="117"/>
      <c r="F29" s="355"/>
      <c r="G29" s="342"/>
      <c r="H29" s="118"/>
      <c r="I29" s="118"/>
    </row>
    <row r="30" spans="1:9" ht="12.75" customHeight="1">
      <c r="A30" s="114"/>
      <c r="B30" s="355"/>
      <c r="C30" s="342"/>
      <c r="D30" s="355"/>
      <c r="E30" s="117"/>
      <c r="F30" s="355"/>
      <c r="G30" s="342"/>
      <c r="H30" s="118"/>
      <c r="I30" s="118"/>
    </row>
    <row r="31" spans="1:9" ht="12.75" customHeight="1">
      <c r="A31" s="114"/>
      <c r="B31" s="355"/>
      <c r="C31" s="342"/>
      <c r="D31" s="355"/>
      <c r="E31" s="117"/>
      <c r="F31" s="355"/>
      <c r="G31" s="342"/>
      <c r="H31" s="118"/>
      <c r="I31" s="118"/>
    </row>
    <row r="32" ht="12.75" customHeight="1">
      <c r="A32" s="580"/>
    </row>
    <row r="33" spans="1:15" s="31" customFormat="1" ht="12.75" customHeight="1">
      <c r="A33" s="580"/>
      <c r="C33" s="360"/>
      <c r="E33" s="244"/>
      <c r="G33" s="360"/>
      <c r="H33" s="48"/>
      <c r="I33" s="48"/>
      <c r="J33" s="378"/>
      <c r="K33" s="378"/>
      <c r="L33" s="378"/>
      <c r="M33" s="378"/>
      <c r="N33" s="378"/>
      <c r="O33" s="378"/>
    </row>
    <row r="34" spans="1:15" s="31" customFormat="1" ht="12.75" customHeight="1">
      <c r="A34" s="580"/>
      <c r="C34" s="360"/>
      <c r="E34" s="244"/>
      <c r="G34" s="360"/>
      <c r="H34" s="48"/>
      <c r="I34" s="48"/>
      <c r="J34" s="378"/>
      <c r="K34" s="378"/>
      <c r="L34" s="378"/>
      <c r="M34" s="378"/>
      <c r="N34" s="378"/>
      <c r="O34" s="378"/>
    </row>
    <row r="35" spans="1:15" s="31" customFormat="1" ht="12.75" customHeight="1">
      <c r="A35" s="580"/>
      <c r="C35" s="360"/>
      <c r="E35" s="244"/>
      <c r="G35" s="360"/>
      <c r="H35" s="48"/>
      <c r="I35" s="48"/>
      <c r="J35" s="378"/>
      <c r="K35" s="378"/>
      <c r="L35" s="378"/>
      <c r="M35" s="378"/>
      <c r="N35" s="378"/>
      <c r="O35" s="378"/>
    </row>
    <row r="36" spans="1:15" s="31" customFormat="1" ht="12.75" customHeight="1">
      <c r="A36" s="580"/>
      <c r="C36" s="360"/>
      <c r="E36" s="244"/>
      <c r="G36" s="360"/>
      <c r="H36" s="48"/>
      <c r="I36" s="48"/>
      <c r="J36" s="378"/>
      <c r="K36" s="378"/>
      <c r="L36" s="378"/>
      <c r="M36" s="378"/>
      <c r="N36" s="378"/>
      <c r="O36" s="378"/>
    </row>
  </sheetData>
  <sheetProtection/>
  <printOptions/>
  <pageMargins left="0.7" right="0.29" top="0.83" bottom="0.5" header="0.3" footer="0.3"/>
  <pageSetup horizontalDpi="600" verticalDpi="600" orientation="portrait" scale="85" r:id="rId1"/>
  <headerFooter>
    <oddHeader>&amp;L&amp;D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9.140625" style="378" customWidth="1"/>
    <col min="2" max="2" width="7.8515625" style="31" customWidth="1"/>
    <col min="3" max="3" width="10.57421875" style="360" customWidth="1"/>
    <col min="4" max="4" width="6.28125" style="31" customWidth="1"/>
    <col min="5" max="5" width="10.28125" style="244" customWidth="1"/>
    <col min="6" max="6" width="7.8515625" style="31" customWidth="1"/>
    <col min="7" max="7" width="11.28125" style="360" customWidth="1"/>
    <col min="8" max="8" width="15.8515625" style="48" customWidth="1"/>
    <col min="9" max="9" width="9.7109375" style="48" customWidth="1"/>
    <col min="10" max="14" width="8.8515625" style="378" customWidth="1"/>
    <col min="15" max="15" width="12.7109375" style="378" bestFit="1" customWidth="1"/>
    <col min="16" max="16384" width="8.8515625" style="378" customWidth="1"/>
  </cols>
  <sheetData>
    <row r="1" spans="1:10" ht="12.75" customHeight="1">
      <c r="A1" s="556" t="s">
        <v>1460</v>
      </c>
      <c r="B1" s="557"/>
      <c r="C1" s="558"/>
      <c r="D1" s="557"/>
      <c r="E1" s="559"/>
      <c r="F1" s="557"/>
      <c r="G1" s="558"/>
      <c r="H1" s="560"/>
      <c r="I1" s="560"/>
      <c r="J1" s="262"/>
    </row>
    <row r="2" spans="1:10" ht="12.75" customHeight="1">
      <c r="A2" s="556" t="s">
        <v>1461</v>
      </c>
      <c r="B2" s="557"/>
      <c r="C2" s="558"/>
      <c r="D2" s="557"/>
      <c r="E2" s="559"/>
      <c r="F2" s="557"/>
      <c r="G2" s="558"/>
      <c r="H2" s="560"/>
      <c r="I2" s="560"/>
      <c r="J2" s="262"/>
    </row>
    <row r="3" spans="1:10" ht="12.75" customHeight="1">
      <c r="A3" s="556" t="s">
        <v>110</v>
      </c>
      <c r="B3" s="557"/>
      <c r="C3" s="558"/>
      <c r="D3" s="557"/>
      <c r="E3" s="559"/>
      <c r="F3" s="557"/>
      <c r="G3" s="558"/>
      <c r="H3" s="560"/>
      <c r="I3" s="560"/>
      <c r="J3" s="262"/>
    </row>
    <row r="4" spans="1:10" ht="12.75" customHeight="1">
      <c r="A4" s="556" t="s">
        <v>5</v>
      </c>
      <c r="B4" s="557"/>
      <c r="C4" s="558"/>
      <c r="D4" s="557"/>
      <c r="E4" s="559"/>
      <c r="F4" s="557"/>
      <c r="G4" s="558"/>
      <c r="H4" s="560"/>
      <c r="I4" s="560"/>
      <c r="J4" s="262"/>
    </row>
    <row r="5" spans="1:10" ht="12.75" customHeight="1">
      <c r="A5" s="556" t="s">
        <v>6</v>
      </c>
      <c r="B5" s="557"/>
      <c r="C5" s="558"/>
      <c r="D5" s="557"/>
      <c r="E5" s="561"/>
      <c r="F5" s="557"/>
      <c r="G5" s="558"/>
      <c r="H5" s="560"/>
      <c r="I5" s="560"/>
      <c r="J5" s="262"/>
    </row>
    <row r="6" spans="1:10" ht="12.75" customHeight="1">
      <c r="A6" s="556" t="s">
        <v>111</v>
      </c>
      <c r="B6" s="557"/>
      <c r="C6" s="558"/>
      <c r="D6" s="557"/>
      <c r="E6" s="559"/>
      <c r="F6" s="557"/>
      <c r="G6" s="558"/>
      <c r="H6" s="560"/>
      <c r="I6" s="560"/>
      <c r="J6" s="262"/>
    </row>
    <row r="7" spans="1:10" ht="12.75" customHeight="1">
      <c r="A7" s="556" t="s">
        <v>112</v>
      </c>
      <c r="B7" s="557"/>
      <c r="C7" s="558"/>
      <c r="D7" s="557"/>
      <c r="E7" s="562" t="s">
        <v>113</v>
      </c>
      <c r="F7" s="557"/>
      <c r="G7" s="558"/>
      <c r="H7" s="560"/>
      <c r="I7" s="560"/>
      <c r="J7" s="262"/>
    </row>
    <row r="8" spans="1:10" ht="12.75" customHeight="1">
      <c r="A8" s="563" t="s">
        <v>1462</v>
      </c>
      <c r="B8" s="564"/>
      <c r="C8" s="565"/>
      <c r="D8" s="564"/>
      <c r="E8" s="566"/>
      <c r="F8" s="564"/>
      <c r="G8" s="565"/>
      <c r="H8" s="567"/>
      <c r="I8" s="567"/>
      <c r="J8" s="262"/>
    </row>
    <row r="9" spans="1:10" ht="12.75" customHeight="1">
      <c r="A9" s="509"/>
      <c r="B9" s="568" t="s">
        <v>45</v>
      </c>
      <c r="C9" s="510"/>
      <c r="D9" s="568" t="s">
        <v>46</v>
      </c>
      <c r="E9" s="510"/>
      <c r="F9" s="568"/>
      <c r="G9" s="569" t="s">
        <v>47</v>
      </c>
      <c r="H9" s="511"/>
      <c r="I9" s="511"/>
      <c r="J9" s="262"/>
    </row>
    <row r="10" spans="1:10" ht="12.75" customHeight="1">
      <c r="A10" s="570" t="s">
        <v>461</v>
      </c>
      <c r="B10" s="571" t="s">
        <v>49</v>
      </c>
      <c r="C10" s="572" t="s">
        <v>50</v>
      </c>
      <c r="D10" s="571" t="s">
        <v>49</v>
      </c>
      <c r="E10" s="572" t="s">
        <v>50</v>
      </c>
      <c r="F10" s="571" t="s">
        <v>49</v>
      </c>
      <c r="G10" s="572" t="s">
        <v>50</v>
      </c>
      <c r="H10" s="573" t="s">
        <v>51</v>
      </c>
      <c r="I10" s="573" t="s">
        <v>52</v>
      </c>
      <c r="J10" s="262"/>
    </row>
    <row r="11" spans="1:10" ht="12.75" customHeight="1">
      <c r="A11" s="574" t="s">
        <v>466</v>
      </c>
      <c r="B11" s="511"/>
      <c r="C11" s="569">
        <v>0</v>
      </c>
      <c r="D11" s="568"/>
      <c r="E11" s="569"/>
      <c r="F11" s="568"/>
      <c r="G11" s="569"/>
      <c r="H11" s="578"/>
      <c r="I11" s="578"/>
      <c r="J11" s="262"/>
    </row>
    <row r="12" spans="1:10" ht="12.75" customHeight="1">
      <c r="A12" s="509" t="s">
        <v>14</v>
      </c>
      <c r="B12" s="578">
        <f aca="true" t="shared" si="0" ref="B12:H12">SUM(B11)</f>
        <v>0</v>
      </c>
      <c r="C12" s="569">
        <f t="shared" si="0"/>
        <v>0</v>
      </c>
      <c r="D12" s="568">
        <f t="shared" si="0"/>
        <v>0</v>
      </c>
      <c r="E12" s="569">
        <f t="shared" si="0"/>
        <v>0</v>
      </c>
      <c r="F12" s="568">
        <f t="shared" si="0"/>
        <v>0</v>
      </c>
      <c r="G12" s="569">
        <f t="shared" si="0"/>
        <v>0</v>
      </c>
      <c r="H12" s="578">
        <f t="shared" si="0"/>
        <v>0</v>
      </c>
      <c r="I12" s="578" t="e">
        <f>H12/G12</f>
        <v>#DIV/0!</v>
      </c>
      <c r="J12" s="262"/>
    </row>
    <row r="13" spans="1:10" ht="12.75" customHeight="1">
      <c r="A13" s="570" t="s">
        <v>462</v>
      </c>
      <c r="B13" s="571" t="s">
        <v>49</v>
      </c>
      <c r="C13" s="572" t="s">
        <v>50</v>
      </c>
      <c r="D13" s="571" t="s">
        <v>49</v>
      </c>
      <c r="E13" s="572" t="s">
        <v>50</v>
      </c>
      <c r="F13" s="571" t="s">
        <v>49</v>
      </c>
      <c r="G13" s="572" t="s">
        <v>50</v>
      </c>
      <c r="H13" s="573" t="s">
        <v>51</v>
      </c>
      <c r="I13" s="573" t="s">
        <v>52</v>
      </c>
      <c r="J13" s="262"/>
    </row>
    <row r="14" spans="1:10" ht="12.75" customHeight="1">
      <c r="A14" s="574" t="s">
        <v>53</v>
      </c>
      <c r="B14" s="622">
        <v>423</v>
      </c>
      <c r="C14" s="569">
        <v>21062.5</v>
      </c>
      <c r="D14" s="622">
        <v>10</v>
      </c>
      <c r="E14" s="577">
        <v>499.2</v>
      </c>
      <c r="F14" s="622">
        <v>433</v>
      </c>
      <c r="G14" s="569">
        <v>21561.7</v>
      </c>
      <c r="H14" s="578" t="s">
        <v>1463</v>
      </c>
      <c r="I14" s="578">
        <v>125.73</v>
      </c>
      <c r="J14" s="262"/>
    </row>
    <row r="15" spans="1:10" ht="12.75" customHeight="1">
      <c r="A15" s="574" t="s">
        <v>322</v>
      </c>
      <c r="B15" s="622">
        <v>20</v>
      </c>
      <c r="C15" s="569">
        <v>994</v>
      </c>
      <c r="D15" s="622">
        <v>20</v>
      </c>
      <c r="E15" s="577">
        <v>997.6</v>
      </c>
      <c r="F15" s="622">
        <v>40</v>
      </c>
      <c r="G15" s="569">
        <v>1991.6</v>
      </c>
      <c r="H15" s="578" t="s">
        <v>1464</v>
      </c>
      <c r="I15" s="578">
        <v>103.64</v>
      </c>
      <c r="J15" s="262"/>
    </row>
    <row r="16" spans="1:10" ht="12.75" customHeight="1">
      <c r="A16" s="574" t="s">
        <v>469</v>
      </c>
      <c r="B16" s="509"/>
      <c r="C16" s="569">
        <v>0</v>
      </c>
      <c r="D16" s="622">
        <v>25</v>
      </c>
      <c r="E16" s="577">
        <v>1247.6</v>
      </c>
      <c r="F16" s="622">
        <v>25</v>
      </c>
      <c r="G16" s="569">
        <v>1247.6</v>
      </c>
      <c r="H16" s="578" t="s">
        <v>1465</v>
      </c>
      <c r="I16" s="578">
        <v>115.58</v>
      </c>
      <c r="J16" s="262"/>
    </row>
    <row r="17" spans="1:10" ht="12.75" customHeight="1">
      <c r="A17" s="574" t="s">
        <v>171</v>
      </c>
      <c r="B17" s="509"/>
      <c r="C17" s="569">
        <v>0</v>
      </c>
      <c r="D17" s="622">
        <v>10</v>
      </c>
      <c r="E17" s="577">
        <v>499</v>
      </c>
      <c r="F17" s="622">
        <v>10</v>
      </c>
      <c r="G17" s="569">
        <v>499</v>
      </c>
      <c r="H17" s="578">
        <v>56387</v>
      </c>
      <c r="I17" s="578">
        <v>113</v>
      </c>
      <c r="J17" s="262"/>
    </row>
    <row r="18" spans="1:10" ht="12.75" customHeight="1">
      <c r="A18" s="574" t="s">
        <v>173</v>
      </c>
      <c r="B18" s="509"/>
      <c r="C18" s="569">
        <v>0</v>
      </c>
      <c r="D18" s="622">
        <v>5</v>
      </c>
      <c r="E18" s="577">
        <v>249.2</v>
      </c>
      <c r="F18" s="622">
        <v>5</v>
      </c>
      <c r="G18" s="569">
        <v>249.2</v>
      </c>
      <c r="H18" s="578">
        <v>51335.2</v>
      </c>
      <c r="I18" s="578">
        <v>206</v>
      </c>
      <c r="J18" s="262"/>
    </row>
    <row r="19" spans="1:10" ht="12.75" customHeight="1">
      <c r="A19" s="574" t="s">
        <v>57</v>
      </c>
      <c r="B19" s="622">
        <v>130</v>
      </c>
      <c r="C19" s="569">
        <v>6483.5</v>
      </c>
      <c r="D19" s="622">
        <v>0</v>
      </c>
      <c r="E19" s="577">
        <v>0</v>
      </c>
      <c r="F19" s="622">
        <v>130</v>
      </c>
      <c r="G19" s="569">
        <v>6483.5</v>
      </c>
      <c r="H19" s="578" t="s">
        <v>1466</v>
      </c>
      <c r="I19" s="578">
        <v>114.01</v>
      </c>
      <c r="J19" s="262"/>
    </row>
    <row r="20" spans="1:10" ht="12.75" customHeight="1">
      <c r="A20" s="574" t="s">
        <v>205</v>
      </c>
      <c r="B20" s="622">
        <v>10</v>
      </c>
      <c r="C20" s="569">
        <v>500</v>
      </c>
      <c r="D20" s="622">
        <v>0</v>
      </c>
      <c r="E20" s="577">
        <v>0</v>
      </c>
      <c r="F20" s="622">
        <v>10</v>
      </c>
      <c r="G20" s="569">
        <v>500</v>
      </c>
      <c r="H20" s="578">
        <v>85000</v>
      </c>
      <c r="I20" s="578">
        <v>170</v>
      </c>
      <c r="J20" s="262"/>
    </row>
    <row r="21" spans="1:10" ht="12.75" customHeight="1">
      <c r="A21" s="574" t="s">
        <v>174</v>
      </c>
      <c r="B21" s="622">
        <v>10</v>
      </c>
      <c r="C21" s="569">
        <v>500</v>
      </c>
      <c r="D21" s="622">
        <v>0</v>
      </c>
      <c r="E21" s="577">
        <v>0</v>
      </c>
      <c r="F21" s="622">
        <v>10</v>
      </c>
      <c r="G21" s="569">
        <v>500</v>
      </c>
      <c r="H21" s="578">
        <v>38000</v>
      </c>
      <c r="I21" s="578">
        <v>76</v>
      </c>
      <c r="J21" s="262"/>
    </row>
    <row r="22" spans="1:10" ht="12.75" customHeight="1">
      <c r="A22" s="574" t="s">
        <v>176</v>
      </c>
      <c r="B22" s="622">
        <v>165</v>
      </c>
      <c r="C22" s="569">
        <v>8195.5</v>
      </c>
      <c r="D22" s="622">
        <v>90</v>
      </c>
      <c r="E22" s="577">
        <v>4483.6</v>
      </c>
      <c r="F22" s="622">
        <v>255</v>
      </c>
      <c r="G22" s="569">
        <v>12679.1</v>
      </c>
      <c r="H22" s="578" t="s">
        <v>1467</v>
      </c>
      <c r="I22" s="578">
        <v>159.56</v>
      </c>
      <c r="J22" s="262"/>
    </row>
    <row r="23" spans="1:10" ht="12.75" customHeight="1">
      <c r="A23" s="574" t="s">
        <v>475</v>
      </c>
      <c r="B23" s="622">
        <v>40</v>
      </c>
      <c r="C23" s="569">
        <v>1991</v>
      </c>
      <c r="D23" s="622">
        <v>0</v>
      </c>
      <c r="E23" s="577">
        <v>0</v>
      </c>
      <c r="F23" s="622">
        <v>40</v>
      </c>
      <c r="G23" s="569">
        <v>1991</v>
      </c>
      <c r="H23" s="578" t="s">
        <v>1468</v>
      </c>
      <c r="I23" s="578">
        <v>152.77</v>
      </c>
      <c r="J23" s="262"/>
    </row>
    <row r="24" spans="1:10" ht="12.75" customHeight="1">
      <c r="A24" s="574" t="s">
        <v>59</v>
      </c>
      <c r="B24" s="622">
        <f>56+50</f>
        <v>106</v>
      </c>
      <c r="C24" s="569">
        <f>2786.5+2492.5</f>
        <v>5279</v>
      </c>
      <c r="D24" s="622">
        <v>0</v>
      </c>
      <c r="E24" s="577">
        <v>0</v>
      </c>
      <c r="F24" s="622">
        <f>56+50</f>
        <v>106</v>
      </c>
      <c r="G24" s="569">
        <f>2786.5+2492.5</f>
        <v>5279</v>
      </c>
      <c r="H24" s="578">
        <f>575255+511461</f>
        <v>1086716</v>
      </c>
      <c r="I24" s="578">
        <f>H24/G24</f>
        <v>205.85641219928016</v>
      </c>
      <c r="J24" s="262"/>
    </row>
    <row r="25" spans="1:10" ht="12.75" customHeight="1">
      <c r="A25" s="574" t="s">
        <v>872</v>
      </c>
      <c r="B25" s="622">
        <v>20</v>
      </c>
      <c r="C25" s="569">
        <v>997</v>
      </c>
      <c r="D25" s="622">
        <v>40</v>
      </c>
      <c r="E25" s="577">
        <v>1996</v>
      </c>
      <c r="F25" s="622">
        <v>60</v>
      </c>
      <c r="G25" s="569">
        <v>2993</v>
      </c>
      <c r="H25" s="578" t="s">
        <v>1469</v>
      </c>
      <c r="I25" s="578">
        <v>77.83</v>
      </c>
      <c r="J25" s="262"/>
    </row>
    <row r="26" spans="1:10" ht="12.75" customHeight="1">
      <c r="A26" s="574" t="s">
        <v>67</v>
      </c>
      <c r="B26" s="622">
        <v>70</v>
      </c>
      <c r="C26" s="569">
        <v>3489.5</v>
      </c>
      <c r="D26" s="622">
        <v>0</v>
      </c>
      <c r="E26" s="577">
        <v>0</v>
      </c>
      <c r="F26" s="622">
        <v>70</v>
      </c>
      <c r="G26" s="569">
        <v>3489.5</v>
      </c>
      <c r="H26" s="578" t="s">
        <v>60</v>
      </c>
      <c r="I26" s="578">
        <v>154.29</v>
      </c>
      <c r="J26" s="262"/>
    </row>
    <row r="27" spans="1:10" ht="12.75" customHeight="1">
      <c r="A27" s="574" t="s">
        <v>71</v>
      </c>
      <c r="B27" s="622">
        <v>500</v>
      </c>
      <c r="C27" s="569">
        <v>24933</v>
      </c>
      <c r="D27" s="622">
        <v>20</v>
      </c>
      <c r="E27" s="577">
        <v>998.4</v>
      </c>
      <c r="F27" s="622">
        <v>520</v>
      </c>
      <c r="G27" s="569">
        <v>25931.4</v>
      </c>
      <c r="H27" s="578" t="s">
        <v>1470</v>
      </c>
      <c r="I27" s="578">
        <v>127.01</v>
      </c>
      <c r="J27" s="262"/>
    </row>
    <row r="28" spans="1:10" ht="12.75" customHeight="1">
      <c r="A28" s="574" t="s">
        <v>1019</v>
      </c>
      <c r="B28" s="509"/>
      <c r="C28" s="569">
        <v>0</v>
      </c>
      <c r="D28" s="622">
        <v>10</v>
      </c>
      <c r="E28" s="577">
        <v>499.2</v>
      </c>
      <c r="F28" s="622">
        <v>10</v>
      </c>
      <c r="G28" s="569">
        <v>499.2</v>
      </c>
      <c r="H28" s="578">
        <v>59404.8</v>
      </c>
      <c r="I28" s="578">
        <v>119</v>
      </c>
      <c r="J28" s="262"/>
    </row>
    <row r="29" spans="1:10" ht="12.75" customHeight="1">
      <c r="A29" s="574" t="s">
        <v>73</v>
      </c>
      <c r="B29" s="622">
        <v>21</v>
      </c>
      <c r="C29" s="569">
        <v>1042.5</v>
      </c>
      <c r="D29" s="622">
        <v>0</v>
      </c>
      <c r="E29" s="577">
        <v>0</v>
      </c>
      <c r="F29" s="622">
        <v>21</v>
      </c>
      <c r="G29" s="569">
        <v>1042.5</v>
      </c>
      <c r="H29" s="578" t="s">
        <v>1471</v>
      </c>
      <c r="I29" s="578">
        <v>207</v>
      </c>
      <c r="J29" s="262"/>
    </row>
    <row r="30" spans="1:10" ht="12.75" customHeight="1">
      <c r="A30" s="574" t="s">
        <v>75</v>
      </c>
      <c r="B30" s="622">
        <v>56</v>
      </c>
      <c r="C30" s="569">
        <v>2755</v>
      </c>
      <c r="D30" s="622">
        <v>0</v>
      </c>
      <c r="E30" s="577">
        <v>0</v>
      </c>
      <c r="F30" s="622">
        <v>56</v>
      </c>
      <c r="G30" s="569">
        <v>2755</v>
      </c>
      <c r="H30" s="578" t="s">
        <v>1472</v>
      </c>
      <c r="I30" s="578">
        <v>151.88</v>
      </c>
      <c r="J30" s="262"/>
    </row>
    <row r="31" spans="1:10" ht="12.75" customHeight="1">
      <c r="A31" s="574" t="s">
        <v>77</v>
      </c>
      <c r="B31" s="622">
        <v>50</v>
      </c>
      <c r="C31" s="569">
        <v>2492.5</v>
      </c>
      <c r="D31" s="622">
        <v>20</v>
      </c>
      <c r="E31" s="577">
        <v>997.6</v>
      </c>
      <c r="F31" s="622">
        <v>70</v>
      </c>
      <c r="G31" s="569">
        <v>3490.1</v>
      </c>
      <c r="H31" s="578" t="s">
        <v>1473</v>
      </c>
      <c r="I31" s="578">
        <v>98.86</v>
      </c>
      <c r="J31" s="262"/>
    </row>
    <row r="32" spans="1:10" ht="12.75" customHeight="1">
      <c r="A32" s="574" t="s">
        <v>79</v>
      </c>
      <c r="B32" s="509"/>
      <c r="C32" s="569">
        <v>0</v>
      </c>
      <c r="D32" s="622">
        <v>10</v>
      </c>
      <c r="E32" s="577">
        <v>498.4</v>
      </c>
      <c r="F32" s="622">
        <v>10</v>
      </c>
      <c r="G32" s="569">
        <v>498.4</v>
      </c>
      <c r="H32" s="578">
        <v>49840</v>
      </c>
      <c r="I32" s="578">
        <v>100</v>
      </c>
      <c r="J32" s="262"/>
    </row>
    <row r="33" spans="1:10" ht="12.75" customHeight="1">
      <c r="A33" s="574" t="s">
        <v>146</v>
      </c>
      <c r="B33" s="509"/>
      <c r="C33" s="569">
        <v>0</v>
      </c>
      <c r="D33" s="622">
        <v>10</v>
      </c>
      <c r="E33" s="577">
        <v>499.2</v>
      </c>
      <c r="F33" s="622">
        <v>10</v>
      </c>
      <c r="G33" s="569">
        <v>499.2</v>
      </c>
      <c r="H33" s="578">
        <v>36940.8</v>
      </c>
      <c r="I33" s="578">
        <v>74</v>
      </c>
      <c r="J33" s="262"/>
    </row>
    <row r="34" spans="1:10" ht="12.75" customHeight="1">
      <c r="A34" s="574" t="s">
        <v>81</v>
      </c>
      <c r="B34" s="622">
        <v>175</v>
      </c>
      <c r="C34" s="569">
        <v>8700.5</v>
      </c>
      <c r="D34" s="622">
        <v>0</v>
      </c>
      <c r="E34" s="577">
        <v>0</v>
      </c>
      <c r="F34" s="622">
        <v>175</v>
      </c>
      <c r="G34" s="569">
        <v>8700.5</v>
      </c>
      <c r="H34" s="578" t="s">
        <v>1474</v>
      </c>
      <c r="I34" s="578">
        <v>100.11</v>
      </c>
      <c r="J34" s="262"/>
    </row>
    <row r="35" spans="1:10" ht="12.75" customHeight="1">
      <c r="A35" s="574" t="s">
        <v>81</v>
      </c>
      <c r="B35" s="622">
        <v>10</v>
      </c>
      <c r="C35" s="569">
        <v>500</v>
      </c>
      <c r="D35" s="622">
        <v>0</v>
      </c>
      <c r="E35" s="577">
        <v>0</v>
      </c>
      <c r="F35" s="622">
        <v>10</v>
      </c>
      <c r="G35" s="569">
        <v>500</v>
      </c>
      <c r="H35" s="578">
        <v>37500</v>
      </c>
      <c r="I35" s="578">
        <v>75</v>
      </c>
      <c r="J35" s="262"/>
    </row>
    <row r="36" spans="1:10" ht="12.75" customHeight="1">
      <c r="A36" s="574" t="s">
        <v>83</v>
      </c>
      <c r="B36" s="622">
        <v>210</v>
      </c>
      <c r="C36" s="569">
        <v>10457.5</v>
      </c>
      <c r="D36" s="622">
        <v>0</v>
      </c>
      <c r="E36" s="577">
        <v>0</v>
      </c>
      <c r="F36" s="622">
        <v>210</v>
      </c>
      <c r="G36" s="569">
        <v>10457.5</v>
      </c>
      <c r="H36" s="578" t="s">
        <v>1475</v>
      </c>
      <c r="I36" s="578">
        <v>112.63</v>
      </c>
      <c r="J36" s="262"/>
    </row>
    <row r="37" spans="1:10" ht="12.75" customHeight="1">
      <c r="A37" s="574" t="s">
        <v>226</v>
      </c>
      <c r="B37" s="509"/>
      <c r="C37" s="569">
        <v>0</v>
      </c>
      <c r="D37" s="622">
        <v>55</v>
      </c>
      <c r="E37" s="577">
        <v>2744.2</v>
      </c>
      <c r="F37" s="622">
        <v>55</v>
      </c>
      <c r="G37" s="569">
        <v>2744.2</v>
      </c>
      <c r="H37" s="578" t="s">
        <v>1476</v>
      </c>
      <c r="I37" s="578">
        <v>146.28</v>
      </c>
      <c r="J37" s="262"/>
    </row>
    <row r="38" spans="1:10" ht="12.75" customHeight="1">
      <c r="A38" s="574" t="s">
        <v>90</v>
      </c>
      <c r="B38" s="509"/>
      <c r="C38" s="569">
        <v>0</v>
      </c>
      <c r="D38" s="622">
        <v>20</v>
      </c>
      <c r="E38" s="577">
        <v>997.6</v>
      </c>
      <c r="F38" s="622">
        <v>20</v>
      </c>
      <c r="G38" s="569">
        <v>997.6</v>
      </c>
      <c r="H38" s="578">
        <v>77316</v>
      </c>
      <c r="I38" s="578">
        <v>77.5</v>
      </c>
      <c r="J38" s="262"/>
    </row>
    <row r="39" spans="1:10" ht="12.75" customHeight="1">
      <c r="A39" s="574" t="s">
        <v>229</v>
      </c>
      <c r="B39" s="622">
        <f>185+10</f>
        <v>195</v>
      </c>
      <c r="C39" s="569">
        <f>9224.5+497</f>
        <v>9721.5</v>
      </c>
      <c r="D39" s="622">
        <v>0</v>
      </c>
      <c r="E39" s="577">
        <v>0</v>
      </c>
      <c r="F39" s="622">
        <f>185+10</f>
        <v>195</v>
      </c>
      <c r="G39" s="569">
        <f>9224.5+497</f>
        <v>9721.5</v>
      </c>
      <c r="H39" s="578">
        <f>709276+36281</f>
        <v>745557</v>
      </c>
      <c r="I39" s="578">
        <f>H39/G39</f>
        <v>76.69155994445302</v>
      </c>
      <c r="J39" s="262"/>
    </row>
    <row r="40" spans="1:10" ht="12.75" customHeight="1">
      <c r="A40" s="574" t="s">
        <v>187</v>
      </c>
      <c r="B40" s="622">
        <v>20</v>
      </c>
      <c r="C40" s="569">
        <v>994</v>
      </c>
      <c r="D40" s="622">
        <v>0</v>
      </c>
      <c r="E40" s="577">
        <v>0</v>
      </c>
      <c r="F40" s="622">
        <v>20</v>
      </c>
      <c r="G40" s="569">
        <v>994</v>
      </c>
      <c r="H40" s="578">
        <v>72562</v>
      </c>
      <c r="I40" s="578">
        <v>73</v>
      </c>
      <c r="J40" s="262"/>
    </row>
    <row r="41" spans="1:10" ht="12.75" customHeight="1">
      <c r="A41" s="574" t="s">
        <v>94</v>
      </c>
      <c r="B41" s="622">
        <v>35</v>
      </c>
      <c r="C41" s="569">
        <v>1744</v>
      </c>
      <c r="D41" s="622">
        <v>20</v>
      </c>
      <c r="E41" s="577">
        <v>998.4</v>
      </c>
      <c r="F41" s="622">
        <v>55</v>
      </c>
      <c r="G41" s="569">
        <v>2742.4</v>
      </c>
      <c r="H41" s="578" t="s">
        <v>1477</v>
      </c>
      <c r="I41" s="578">
        <v>172.15</v>
      </c>
      <c r="J41" s="262"/>
    </row>
    <row r="42" spans="1:10" ht="12.75" customHeight="1">
      <c r="A42" s="574" t="s">
        <v>266</v>
      </c>
      <c r="B42" s="509"/>
      <c r="C42" s="569">
        <v>0</v>
      </c>
      <c r="D42" s="622">
        <f>10+85</f>
        <v>95</v>
      </c>
      <c r="E42" s="577">
        <f>499.2+4242</f>
        <v>4741.2</v>
      </c>
      <c r="F42" s="622">
        <f>10+85</f>
        <v>95</v>
      </c>
      <c r="G42" s="569">
        <f>499.2+4242</f>
        <v>4741.2</v>
      </c>
      <c r="H42" s="578">
        <f>52416+672704.8</f>
        <v>725120.8</v>
      </c>
      <c r="I42" s="578">
        <f>H42/G42</f>
        <v>152.94035265333673</v>
      </c>
      <c r="J42" s="262"/>
    </row>
    <row r="43" spans="1:10" ht="12.75" customHeight="1">
      <c r="A43" s="574" t="s">
        <v>96</v>
      </c>
      <c r="B43" s="622">
        <v>20</v>
      </c>
      <c r="C43" s="569">
        <v>997</v>
      </c>
      <c r="D43" s="622">
        <v>0</v>
      </c>
      <c r="E43" s="577">
        <v>0</v>
      </c>
      <c r="F43" s="622">
        <v>20</v>
      </c>
      <c r="G43" s="569">
        <v>997</v>
      </c>
      <c r="H43" s="578" t="s">
        <v>1478</v>
      </c>
      <c r="I43" s="578">
        <v>157</v>
      </c>
      <c r="J43" s="262"/>
    </row>
    <row r="44" spans="1:10" ht="12.75" customHeight="1">
      <c r="A44" s="574" t="s">
        <v>1068</v>
      </c>
      <c r="B44" s="622">
        <f>10+90</f>
        <v>100</v>
      </c>
      <c r="C44" s="569">
        <f>498.5+4491</f>
        <v>4989.5</v>
      </c>
      <c r="D44" s="622">
        <v>0</v>
      </c>
      <c r="E44" s="577">
        <v>0</v>
      </c>
      <c r="F44" s="622">
        <f>10+90</f>
        <v>100</v>
      </c>
      <c r="G44" s="569">
        <f>498.5+4491</f>
        <v>4989.5</v>
      </c>
      <c r="H44" s="578">
        <f>34895+529100</f>
        <v>563995</v>
      </c>
      <c r="I44" s="578">
        <f>H44/G44</f>
        <v>113.03637639041987</v>
      </c>
      <c r="J44" s="262"/>
    </row>
    <row r="45" spans="1:10" ht="12.75" customHeight="1">
      <c r="A45" s="574" t="s">
        <v>98</v>
      </c>
      <c r="B45" s="622">
        <f>235+20</f>
        <v>255</v>
      </c>
      <c r="C45" s="569">
        <f>11711+995.5</f>
        <v>12706.5</v>
      </c>
      <c r="D45" s="622">
        <v>0</v>
      </c>
      <c r="E45" s="577">
        <v>0</v>
      </c>
      <c r="F45" s="622">
        <f>235+20</f>
        <v>255</v>
      </c>
      <c r="G45" s="569">
        <f>11711+995.5</f>
        <v>12706.5</v>
      </c>
      <c r="H45" s="578">
        <f>880316+124439</f>
        <v>1004755</v>
      </c>
      <c r="I45" s="578">
        <f>H45/G45</f>
        <v>79.0740959351513</v>
      </c>
      <c r="J45" s="262"/>
    </row>
    <row r="46" spans="1:10" ht="12.75" customHeight="1">
      <c r="A46" s="574" t="s">
        <v>99</v>
      </c>
      <c r="B46" s="622">
        <v>180</v>
      </c>
      <c r="C46" s="569">
        <v>8971.5</v>
      </c>
      <c r="D46" s="622">
        <v>0</v>
      </c>
      <c r="E46" s="577">
        <v>0</v>
      </c>
      <c r="F46" s="622">
        <v>180</v>
      </c>
      <c r="G46" s="569">
        <v>8971.5</v>
      </c>
      <c r="H46" s="578" t="s">
        <v>1479</v>
      </c>
      <c r="I46" s="578">
        <v>81.32</v>
      </c>
      <c r="J46" s="262"/>
    </row>
    <row r="47" spans="1:10" ht="12.75" customHeight="1">
      <c r="A47" s="574" t="s">
        <v>14</v>
      </c>
      <c r="B47" s="623">
        <v>2821</v>
      </c>
      <c r="C47" s="569" t="s">
        <v>1480</v>
      </c>
      <c r="D47" s="622">
        <v>460</v>
      </c>
      <c r="E47" s="577">
        <v>22946.4</v>
      </c>
      <c r="F47" s="623">
        <v>3281</v>
      </c>
      <c r="G47" s="569" t="s">
        <v>1481</v>
      </c>
      <c r="H47" s="578" t="s">
        <v>1482</v>
      </c>
      <c r="I47" s="578">
        <v>120.35</v>
      </c>
      <c r="J47" s="262"/>
    </row>
    <row r="48" spans="1:10" ht="12.75" customHeight="1">
      <c r="A48" s="581"/>
      <c r="B48" s="568"/>
      <c r="C48" s="569"/>
      <c r="D48" s="568"/>
      <c r="E48" s="569"/>
      <c r="F48" s="568"/>
      <c r="G48" s="569"/>
      <c r="H48" s="578"/>
      <c r="I48" s="578"/>
      <c r="J48" s="262"/>
    </row>
    <row r="49" spans="1:9" ht="12.75" customHeight="1">
      <c r="A49" s="570"/>
      <c r="B49" s="512"/>
      <c r="C49" s="510"/>
      <c r="D49" s="512"/>
      <c r="E49" s="580"/>
      <c r="F49" s="580"/>
      <c r="G49" s="513"/>
      <c r="H49" s="582"/>
      <c r="I49" s="510" t="s">
        <v>119</v>
      </c>
    </row>
    <row r="50" spans="1:9" ht="12.75" customHeight="1">
      <c r="A50" s="570"/>
      <c r="B50" s="512"/>
      <c r="C50" s="510"/>
      <c r="D50" s="512"/>
      <c r="E50" s="580"/>
      <c r="F50" s="580"/>
      <c r="G50" s="513"/>
      <c r="H50" s="513"/>
      <c r="I50" s="583" t="s">
        <v>121</v>
      </c>
    </row>
    <row r="51" spans="1:9" ht="12.75" customHeight="1">
      <c r="A51" s="556" t="s">
        <v>117</v>
      </c>
      <c r="B51" s="512"/>
      <c r="C51" s="510"/>
      <c r="D51" s="512"/>
      <c r="E51" s="513"/>
      <c r="F51" s="512"/>
      <c r="G51" s="510"/>
      <c r="H51" s="511"/>
      <c r="I51" s="511"/>
    </row>
    <row r="52" spans="1:9" ht="12.75" customHeight="1">
      <c r="A52" s="556" t="s">
        <v>118</v>
      </c>
      <c r="B52" s="512"/>
      <c r="C52" s="510"/>
      <c r="D52" s="512"/>
      <c r="E52" s="513"/>
      <c r="F52" s="512"/>
      <c r="G52" s="510"/>
      <c r="H52" s="511"/>
      <c r="I52" s="511"/>
    </row>
    <row r="53" spans="1:9" ht="12.75" customHeight="1">
      <c r="A53" s="556" t="s">
        <v>120</v>
      </c>
      <c r="B53" s="512"/>
      <c r="C53" s="510"/>
      <c r="D53" s="512"/>
      <c r="E53" s="513"/>
      <c r="F53" s="512"/>
      <c r="G53" s="510"/>
      <c r="H53" s="511"/>
      <c r="I53" s="511"/>
    </row>
    <row r="54" spans="1:9" ht="12.75" customHeight="1">
      <c r="A54" s="556" t="s">
        <v>122</v>
      </c>
      <c r="B54" s="512"/>
      <c r="C54" s="510"/>
      <c r="D54" s="512"/>
      <c r="E54" s="513"/>
      <c r="F54" s="512"/>
      <c r="G54" s="510"/>
      <c r="H54" s="511"/>
      <c r="I54" s="511"/>
    </row>
    <row r="55" spans="1:9" ht="12.75" customHeight="1">
      <c r="A55" s="556" t="s">
        <v>123</v>
      </c>
      <c r="B55" s="512"/>
      <c r="C55" s="510"/>
      <c r="D55" s="512"/>
      <c r="E55" s="513"/>
      <c r="F55" s="512"/>
      <c r="G55" s="510"/>
      <c r="H55" s="511"/>
      <c r="I55" s="511"/>
    </row>
    <row r="56" spans="1:9" ht="12.75" customHeight="1">
      <c r="A56" s="114"/>
      <c r="B56" s="355"/>
      <c r="C56" s="342"/>
      <c r="D56" s="355"/>
      <c r="E56" s="117"/>
      <c r="F56" s="355"/>
      <c r="G56" s="342"/>
      <c r="H56" s="118"/>
      <c r="I56" s="118"/>
    </row>
    <row r="57" spans="1:9" ht="12.75" customHeight="1">
      <c r="A57" s="114"/>
      <c r="B57" s="355"/>
      <c r="C57" s="342"/>
      <c r="D57" s="355"/>
      <c r="E57" s="117"/>
      <c r="F57" s="355"/>
      <c r="G57" s="342"/>
      <c r="H57" s="118"/>
      <c r="I57" s="118"/>
    </row>
    <row r="58" spans="1:9" ht="12.75" customHeight="1">
      <c r="A58" s="114"/>
      <c r="B58" s="355"/>
      <c r="C58" s="342"/>
      <c r="D58" s="355"/>
      <c r="E58" s="117"/>
      <c r="F58" s="355"/>
      <c r="G58" s="342"/>
      <c r="H58" s="118"/>
      <c r="I58" s="118"/>
    </row>
    <row r="59" spans="1:9" ht="12.75" customHeight="1">
      <c r="A59" s="114"/>
      <c r="B59" s="355"/>
      <c r="C59" s="342"/>
      <c r="D59" s="355"/>
      <c r="E59" s="117"/>
      <c r="F59" s="355"/>
      <c r="G59" s="342"/>
      <c r="H59" s="118"/>
      <c r="I59" s="118"/>
    </row>
    <row r="60" spans="1:9" ht="12.75" customHeight="1">
      <c r="A60" s="114"/>
      <c r="B60" s="355"/>
      <c r="C60" s="342"/>
      <c r="D60" s="355"/>
      <c r="E60" s="117"/>
      <c r="F60" s="355"/>
      <c r="G60" s="342"/>
      <c r="H60" s="118"/>
      <c r="I60" s="118"/>
    </row>
    <row r="61" spans="1:9" ht="12.75" customHeight="1">
      <c r="A61" s="114"/>
      <c r="B61" s="355"/>
      <c r="C61" s="342"/>
      <c r="D61" s="355"/>
      <c r="E61" s="117"/>
      <c r="F61" s="355"/>
      <c r="G61" s="342"/>
      <c r="H61" s="118"/>
      <c r="I61" s="118"/>
    </row>
    <row r="62" ht="12.75" customHeight="1">
      <c r="A62" s="580"/>
    </row>
    <row r="63" spans="1:15" s="31" customFormat="1" ht="12.75" customHeight="1">
      <c r="A63" s="580"/>
      <c r="C63" s="360"/>
      <c r="E63" s="244"/>
      <c r="G63" s="360"/>
      <c r="H63" s="48"/>
      <c r="I63" s="48"/>
      <c r="J63" s="378"/>
      <c r="K63" s="378"/>
      <c r="L63" s="378"/>
      <c r="M63" s="378"/>
      <c r="N63" s="378"/>
      <c r="O63" s="378"/>
    </row>
    <row r="64" spans="1:15" s="31" customFormat="1" ht="12.75" customHeight="1">
      <c r="A64" s="580"/>
      <c r="C64" s="360"/>
      <c r="E64" s="244"/>
      <c r="G64" s="360"/>
      <c r="H64" s="48"/>
      <c r="I64" s="48"/>
      <c r="J64" s="378"/>
      <c r="K64" s="378"/>
      <c r="L64" s="378"/>
      <c r="M64" s="378"/>
      <c r="N64" s="378"/>
      <c r="O64" s="378"/>
    </row>
    <row r="65" spans="1:15" s="31" customFormat="1" ht="12.75" customHeight="1">
      <c r="A65" s="580"/>
      <c r="C65" s="360"/>
      <c r="E65" s="244"/>
      <c r="G65" s="360"/>
      <c r="H65" s="48"/>
      <c r="I65" s="48"/>
      <c r="J65" s="378"/>
      <c r="K65" s="378"/>
      <c r="L65" s="378"/>
      <c r="M65" s="378"/>
      <c r="N65" s="378"/>
      <c r="O65" s="378"/>
    </row>
    <row r="66" spans="1:15" s="31" customFormat="1" ht="12.75" customHeight="1">
      <c r="A66" s="580"/>
      <c r="C66" s="360"/>
      <c r="E66" s="244"/>
      <c r="G66" s="360"/>
      <c r="H66" s="48"/>
      <c r="I66" s="48"/>
      <c r="J66" s="378"/>
      <c r="K66" s="378"/>
      <c r="L66" s="378"/>
      <c r="M66" s="378"/>
      <c r="N66" s="378"/>
      <c r="O66" s="378"/>
    </row>
  </sheetData>
  <sheetProtection/>
  <printOptions/>
  <pageMargins left="0.7" right="0.29" top="0.83" bottom="0.5" header="0.3" footer="0.3"/>
  <pageSetup horizontalDpi="600" verticalDpi="600" orientation="portrait" scale="85" r:id="rId1"/>
  <headerFooter>
    <oddHeader>&amp;L&amp;D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27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6.7109375" style="4" customWidth="1"/>
    <col min="2" max="2" width="7.57421875" style="4" customWidth="1"/>
    <col min="3" max="3" width="12.57421875" style="6" customWidth="1"/>
    <col min="4" max="4" width="12.7109375" style="5" customWidth="1"/>
    <col min="5" max="5" width="15.00390625" style="6" customWidth="1"/>
    <col min="6" max="6" width="14.421875" style="5" customWidth="1"/>
    <col min="7" max="7" width="9.8515625" style="5" customWidth="1"/>
    <col min="8" max="8" width="9.57421875" style="5" customWidth="1"/>
    <col min="9" max="9" width="9.28125" style="3" customWidth="1"/>
    <col min="10" max="10" width="21.28125" style="378" bestFit="1" customWidth="1"/>
    <col min="11" max="16384" width="9.140625" style="378" customWidth="1"/>
  </cols>
  <sheetData>
    <row r="1" spans="1:9" ht="12.75" customHeight="1">
      <c r="A1" s="380"/>
      <c r="B1" s="380"/>
      <c r="C1" s="381" t="s">
        <v>3</v>
      </c>
      <c r="D1" s="382"/>
      <c r="E1" s="383"/>
      <c r="F1" s="384"/>
      <c r="G1" s="382"/>
      <c r="H1" s="380"/>
      <c r="I1" s="15"/>
    </row>
    <row r="2" spans="1:9" ht="12.75" customHeight="1">
      <c r="A2" s="380"/>
      <c r="B2" s="380"/>
      <c r="C2" s="381" t="s">
        <v>4</v>
      </c>
      <c r="D2" s="385"/>
      <c r="E2" s="381"/>
      <c r="F2" s="384"/>
      <c r="G2" s="382"/>
      <c r="H2" s="380"/>
      <c r="I2" s="15"/>
    </row>
    <row r="3" spans="1:9" ht="12.75" customHeight="1">
      <c r="A3" s="380"/>
      <c r="B3" s="380"/>
      <c r="C3" s="381" t="s">
        <v>33</v>
      </c>
      <c r="D3" s="385"/>
      <c r="E3" s="381"/>
      <c r="F3" s="384"/>
      <c r="G3" s="382"/>
      <c r="H3" s="380"/>
      <c r="I3" s="15"/>
    </row>
    <row r="4" spans="1:9" ht="12.75" customHeight="1">
      <c r="A4" s="386"/>
      <c r="B4" s="380"/>
      <c r="C4" s="381" t="s">
        <v>31</v>
      </c>
      <c r="D4" s="385"/>
      <c r="E4" s="381"/>
      <c r="F4" s="384"/>
      <c r="G4" s="387"/>
      <c r="H4" s="380"/>
      <c r="I4" s="15"/>
    </row>
    <row r="5" spans="1:9" ht="12.75" customHeight="1">
      <c r="A5" s="380"/>
      <c r="B5" s="386"/>
      <c r="C5" s="388"/>
      <c r="D5" s="387"/>
      <c r="E5" s="383" t="s">
        <v>1484</v>
      </c>
      <c r="F5" s="384"/>
      <c r="G5" s="387"/>
      <c r="H5" s="380"/>
      <c r="I5" s="15"/>
    </row>
    <row r="6" spans="1:9" ht="12.75" customHeight="1">
      <c r="A6" s="389" t="s">
        <v>39</v>
      </c>
      <c r="B6" s="386"/>
      <c r="C6" s="388"/>
      <c r="D6" s="387"/>
      <c r="E6" s="388"/>
      <c r="F6" s="384"/>
      <c r="G6" s="387"/>
      <c r="H6" s="380"/>
      <c r="I6" s="15"/>
    </row>
    <row r="7" spans="1:9" ht="12.75" customHeight="1">
      <c r="A7" s="390" t="s">
        <v>312</v>
      </c>
      <c r="B7" s="390"/>
      <c r="C7" s="856" t="s">
        <v>1483</v>
      </c>
      <c r="D7" s="856"/>
      <c r="E7" s="553" t="s">
        <v>1485</v>
      </c>
      <c r="F7" s="384"/>
      <c r="G7" s="382"/>
      <c r="H7" s="380"/>
      <c r="I7" s="15"/>
    </row>
    <row r="8" spans="1:9" ht="12.75" customHeight="1">
      <c r="A8" s="392" t="s">
        <v>243</v>
      </c>
      <c r="B8" s="380"/>
      <c r="C8" s="393" t="s">
        <v>0</v>
      </c>
      <c r="D8" s="394" t="s">
        <v>1</v>
      </c>
      <c r="E8" s="393" t="s">
        <v>0</v>
      </c>
      <c r="F8" s="394" t="s">
        <v>1</v>
      </c>
      <c r="G8" s="382"/>
      <c r="H8" s="380"/>
      <c r="I8" s="15"/>
    </row>
    <row r="9" spans="1:9" ht="12.75" customHeight="1">
      <c r="A9" s="389" t="s">
        <v>1348</v>
      </c>
      <c r="B9" s="380"/>
      <c r="C9" s="413">
        <v>0</v>
      </c>
      <c r="D9" s="400">
        <v>0</v>
      </c>
      <c r="E9" s="413">
        <v>2991.7</v>
      </c>
      <c r="F9" s="400">
        <v>77.01403884079286</v>
      </c>
      <c r="G9" s="382"/>
      <c r="H9" s="380"/>
      <c r="I9" s="15"/>
    </row>
    <row r="10" spans="1:9" ht="12.75" customHeight="1">
      <c r="A10" s="389" t="s">
        <v>1207</v>
      </c>
      <c r="B10" s="380"/>
      <c r="C10" s="413">
        <v>0</v>
      </c>
      <c r="D10" s="400">
        <v>0</v>
      </c>
      <c r="E10" s="413">
        <v>30436.8</v>
      </c>
      <c r="F10" s="400">
        <v>104.30713806970509</v>
      </c>
      <c r="G10" s="382"/>
      <c r="H10" s="380"/>
      <c r="I10" s="15"/>
    </row>
    <row r="11" spans="1:9" ht="12.75" customHeight="1">
      <c r="A11" s="389" t="s">
        <v>277</v>
      </c>
      <c r="B11" s="380"/>
      <c r="C11" s="413">
        <v>0</v>
      </c>
      <c r="D11" s="400">
        <v>0</v>
      </c>
      <c r="E11" s="413">
        <v>85350.19999999998</v>
      </c>
      <c r="F11" s="400">
        <v>122.455201042294</v>
      </c>
      <c r="G11" s="382"/>
      <c r="H11" s="380"/>
      <c r="I11" s="15"/>
    </row>
    <row r="12" spans="1:9" ht="12.75" customHeight="1">
      <c r="A12" s="389" t="s">
        <v>279</v>
      </c>
      <c r="B12" s="380"/>
      <c r="C12" s="413">
        <v>0</v>
      </c>
      <c r="D12" s="400">
        <v>0</v>
      </c>
      <c r="E12" s="413">
        <v>2991</v>
      </c>
      <c r="F12" s="400">
        <v>240.16666666666666</v>
      </c>
      <c r="G12" s="382"/>
      <c r="H12" s="380"/>
      <c r="I12" s="15"/>
    </row>
    <row r="13" spans="1:9" ht="12.75" customHeight="1">
      <c r="A13" s="389" t="s">
        <v>278</v>
      </c>
      <c r="B13" s="380"/>
      <c r="C13" s="413">
        <v>498.5</v>
      </c>
      <c r="D13" s="400">
        <v>122</v>
      </c>
      <c r="E13" s="413">
        <v>134757.3</v>
      </c>
      <c r="F13" s="400">
        <v>183.47963635365215</v>
      </c>
      <c r="G13" s="382"/>
      <c r="H13" s="380"/>
      <c r="I13" s="15"/>
    </row>
    <row r="14" spans="1:9" ht="12.75" customHeight="1">
      <c r="A14" s="389" t="s">
        <v>1208</v>
      </c>
      <c r="B14" s="380"/>
      <c r="C14" s="413">
        <v>4985.7</v>
      </c>
      <c r="D14" s="400">
        <v>147.20109513207774</v>
      </c>
      <c r="E14" s="413">
        <v>51841.7</v>
      </c>
      <c r="F14" s="400">
        <v>182.62285573196868</v>
      </c>
      <c r="G14" s="382"/>
      <c r="H14" s="380"/>
      <c r="I14" s="15"/>
    </row>
    <row r="15" spans="1:9" ht="12.75" customHeight="1">
      <c r="A15" s="389" t="s">
        <v>280</v>
      </c>
      <c r="B15" s="380"/>
      <c r="C15" s="413">
        <v>16453.3</v>
      </c>
      <c r="D15" s="400">
        <v>98.15357405505279</v>
      </c>
      <c r="E15" s="413">
        <v>330977.6000000001</v>
      </c>
      <c r="F15" s="400">
        <v>154.34533877821335</v>
      </c>
      <c r="G15" s="382"/>
      <c r="H15" s="380"/>
      <c r="I15" s="15"/>
    </row>
    <row r="16" spans="1:9" ht="12.75" customHeight="1">
      <c r="A16" s="389" t="s">
        <v>281</v>
      </c>
      <c r="B16" s="380"/>
      <c r="C16" s="413">
        <v>0</v>
      </c>
      <c r="D16" s="400">
        <v>0</v>
      </c>
      <c r="E16" s="413">
        <v>108539.89999999998</v>
      </c>
      <c r="F16" s="400">
        <v>112.63542439232027</v>
      </c>
      <c r="G16" s="382"/>
      <c r="H16" s="380"/>
      <c r="I16" s="15"/>
    </row>
    <row r="17" spans="1:9" ht="12.75" customHeight="1">
      <c r="A17" s="389" t="s">
        <v>1209</v>
      </c>
      <c r="B17" s="380"/>
      <c r="C17" s="413">
        <v>0</v>
      </c>
      <c r="D17" s="400">
        <v>0</v>
      </c>
      <c r="E17" s="413">
        <v>4234.9</v>
      </c>
      <c r="F17" s="400">
        <v>88.83397482821319</v>
      </c>
      <c r="G17" s="382"/>
      <c r="H17" s="380"/>
      <c r="I17" s="15"/>
    </row>
    <row r="18" spans="1:9" ht="12.75" customHeight="1">
      <c r="A18" s="389" t="s">
        <v>1210</v>
      </c>
      <c r="B18" s="380"/>
      <c r="C18" s="413">
        <v>0</v>
      </c>
      <c r="D18" s="400">
        <v>0</v>
      </c>
      <c r="E18" s="413">
        <v>11966.1</v>
      </c>
      <c r="F18" s="400">
        <v>100</v>
      </c>
      <c r="G18" s="382"/>
      <c r="H18" s="380"/>
      <c r="I18" s="15"/>
    </row>
    <row r="19" spans="1:9" ht="12.75" customHeight="1">
      <c r="A19" s="389" t="s">
        <v>1211</v>
      </c>
      <c r="B19" s="380"/>
      <c r="C19" s="413">
        <v>2995.4</v>
      </c>
      <c r="D19" s="400">
        <v>182.66582092541896</v>
      </c>
      <c r="E19" s="413">
        <v>27955.200000000004</v>
      </c>
      <c r="F19" s="400">
        <v>196.7867087339743</v>
      </c>
      <c r="G19" s="382"/>
      <c r="H19" s="380"/>
      <c r="I19" s="15"/>
    </row>
    <row r="20" spans="1:9" ht="12.75" customHeight="1">
      <c r="A20" s="389" t="s">
        <v>1212</v>
      </c>
      <c r="B20" s="380"/>
      <c r="C20" s="413">
        <v>2991.7</v>
      </c>
      <c r="D20" s="400">
        <v>84.50479660393756</v>
      </c>
      <c r="E20" s="413">
        <v>43363.09999999999</v>
      </c>
      <c r="F20" s="400">
        <v>159.83473967497716</v>
      </c>
      <c r="G20" s="382"/>
      <c r="H20" s="380"/>
      <c r="I20" s="15"/>
    </row>
    <row r="21" spans="1:9" ht="12.75" customHeight="1">
      <c r="A21" s="389" t="s">
        <v>282</v>
      </c>
      <c r="B21" s="380"/>
      <c r="C21" s="413">
        <v>2492.9</v>
      </c>
      <c r="D21" s="400">
        <v>155.28673432548436</v>
      </c>
      <c r="E21" s="413">
        <v>90464.59999999998</v>
      </c>
      <c r="F21" s="400">
        <v>170.34312095560037</v>
      </c>
      <c r="G21" s="382"/>
      <c r="H21" s="380"/>
      <c r="I21" s="15"/>
    </row>
    <row r="22" spans="1:9" ht="12.75" customHeight="1">
      <c r="A22" s="389" t="s">
        <v>283</v>
      </c>
      <c r="B22" s="380"/>
      <c r="C22" s="413">
        <v>22418.5</v>
      </c>
      <c r="D22" s="400">
        <v>206.14899747976</v>
      </c>
      <c r="E22" s="413">
        <v>570665.2000000002</v>
      </c>
      <c r="F22" s="400">
        <v>257.76765798930785</v>
      </c>
      <c r="G22" s="382"/>
      <c r="H22" s="380"/>
      <c r="I22" s="15"/>
    </row>
    <row r="23" spans="1:9" ht="12.75" customHeight="1">
      <c r="A23" s="389" t="s">
        <v>284</v>
      </c>
      <c r="B23" s="380"/>
      <c r="C23" s="413">
        <v>0</v>
      </c>
      <c r="D23" s="400">
        <v>0</v>
      </c>
      <c r="E23" s="413">
        <v>37338.2</v>
      </c>
      <c r="F23" s="400">
        <v>109.71266424198275</v>
      </c>
      <c r="G23" s="382"/>
      <c r="H23" s="380"/>
      <c r="I23" s="15"/>
    </row>
    <row r="24" spans="1:9" ht="12.75" customHeight="1">
      <c r="A24" s="389" t="s">
        <v>285</v>
      </c>
      <c r="B24" s="380"/>
      <c r="C24" s="413">
        <v>4486.5</v>
      </c>
      <c r="D24" s="400">
        <v>71.11111111111111</v>
      </c>
      <c r="E24" s="413">
        <v>113112.19999999998</v>
      </c>
      <c r="F24" s="400">
        <v>164.7287799194075</v>
      </c>
      <c r="G24" s="382"/>
      <c r="H24" s="380"/>
      <c r="I24" s="15"/>
    </row>
    <row r="25" spans="1:9" ht="12.75" customHeight="1">
      <c r="A25" s="389" t="s">
        <v>1213</v>
      </c>
      <c r="B25" s="380"/>
      <c r="C25" s="413">
        <v>0</v>
      </c>
      <c r="D25" s="400">
        <v>0</v>
      </c>
      <c r="E25" s="413">
        <v>23422</v>
      </c>
      <c r="F25" s="400">
        <v>133.88325932883612</v>
      </c>
      <c r="G25" s="382"/>
      <c r="H25" s="380"/>
      <c r="I25" s="15"/>
    </row>
    <row r="26" spans="1:9" ht="12.75" customHeight="1">
      <c r="A26" s="389" t="s">
        <v>286</v>
      </c>
      <c r="B26" s="380"/>
      <c r="C26" s="413">
        <v>2994.7</v>
      </c>
      <c r="D26" s="400">
        <v>100.16752930176646</v>
      </c>
      <c r="E26" s="413">
        <v>258392.7</v>
      </c>
      <c r="F26" s="400">
        <v>207.3793830088853</v>
      </c>
      <c r="G26" s="382"/>
      <c r="H26" s="380"/>
      <c r="I26" s="15"/>
    </row>
    <row r="27" spans="1:9" ht="12.75" customHeight="1">
      <c r="A27" s="389" t="s">
        <v>1214</v>
      </c>
      <c r="B27" s="380"/>
      <c r="C27" s="413">
        <v>0</v>
      </c>
      <c r="D27" s="400">
        <v>0</v>
      </c>
      <c r="E27" s="413">
        <v>12462.5</v>
      </c>
      <c r="F27" s="400">
        <v>193.64</v>
      </c>
      <c r="G27" s="382"/>
      <c r="H27" s="380"/>
      <c r="I27" s="15"/>
    </row>
    <row r="28" spans="1:9" ht="12.75" customHeight="1">
      <c r="A28" s="389" t="s">
        <v>287</v>
      </c>
      <c r="B28" s="380"/>
      <c r="C28" s="413">
        <v>2243.8</v>
      </c>
      <c r="D28" s="400">
        <v>95.10192530528568</v>
      </c>
      <c r="E28" s="413">
        <v>185537.8</v>
      </c>
      <c r="F28" s="400">
        <v>170.1054782367798</v>
      </c>
      <c r="G28" s="382"/>
      <c r="H28" s="380"/>
      <c r="I28" s="15"/>
    </row>
    <row r="29" spans="1:9" ht="12.75" customHeight="1">
      <c r="A29" s="389" t="s">
        <v>288</v>
      </c>
      <c r="B29" s="380"/>
      <c r="C29" s="413">
        <v>2496</v>
      </c>
      <c r="D29" s="400">
        <v>137</v>
      </c>
      <c r="E29" s="413">
        <v>480079.6</v>
      </c>
      <c r="F29" s="400">
        <v>172.3753250502625</v>
      </c>
      <c r="G29" s="382"/>
      <c r="H29" s="380"/>
      <c r="I29" s="15"/>
    </row>
    <row r="30" spans="1:9" ht="12.75" customHeight="1">
      <c r="A30" s="389" t="s">
        <v>1215</v>
      </c>
      <c r="B30" s="380"/>
      <c r="C30" s="413">
        <v>0</v>
      </c>
      <c r="D30" s="400">
        <v>0</v>
      </c>
      <c r="E30" s="413">
        <v>12483.4</v>
      </c>
      <c r="F30" s="400">
        <v>128.42010990595512</v>
      </c>
      <c r="G30" s="382"/>
      <c r="H30" s="380"/>
      <c r="I30" s="15"/>
    </row>
    <row r="31" spans="1:9" ht="12.75" customHeight="1">
      <c r="A31" s="389" t="s">
        <v>289</v>
      </c>
      <c r="B31" s="380"/>
      <c r="C31" s="413">
        <v>0</v>
      </c>
      <c r="D31" s="400">
        <v>0</v>
      </c>
      <c r="E31" s="413">
        <v>467338.19999999995</v>
      </c>
      <c r="F31" s="400">
        <v>211.70128485109927</v>
      </c>
      <c r="G31" s="382"/>
      <c r="H31" s="380"/>
      <c r="I31" s="15"/>
    </row>
    <row r="32" spans="1:9" ht="12.75" customHeight="1">
      <c r="A32" s="389" t="s">
        <v>290</v>
      </c>
      <c r="B32" s="380"/>
      <c r="C32" s="413">
        <v>0</v>
      </c>
      <c r="D32" s="400">
        <v>0</v>
      </c>
      <c r="E32" s="413">
        <v>61736.49999999999</v>
      </c>
      <c r="F32" s="400">
        <v>99.87985065560893</v>
      </c>
      <c r="G32" s="382"/>
      <c r="H32" s="380"/>
      <c r="I32" s="15"/>
    </row>
    <row r="33" spans="1:9" ht="12.75" customHeight="1">
      <c r="A33" s="389" t="s">
        <v>291</v>
      </c>
      <c r="B33" s="380"/>
      <c r="C33" s="413">
        <v>1498.5</v>
      </c>
      <c r="D33" s="400">
        <v>101</v>
      </c>
      <c r="E33" s="413">
        <v>247550.30000000002</v>
      </c>
      <c r="F33" s="400">
        <v>131.88391732912464</v>
      </c>
      <c r="G33" s="382"/>
      <c r="H33" s="380"/>
      <c r="I33" s="15"/>
    </row>
    <row r="34" spans="1:9" ht="12.75" customHeight="1">
      <c r="A34" s="389" t="s">
        <v>292</v>
      </c>
      <c r="B34" s="380"/>
      <c r="C34" s="413">
        <v>0</v>
      </c>
      <c r="D34" s="400">
        <v>0</v>
      </c>
      <c r="E34" s="413">
        <v>144553.29999999996</v>
      </c>
      <c r="F34" s="400">
        <v>197.84766380290185</v>
      </c>
      <c r="G34" s="382"/>
      <c r="H34" s="380"/>
      <c r="I34" s="15"/>
    </row>
    <row r="35" spans="1:9" ht="12.75" customHeight="1">
      <c r="A35" s="389" t="s">
        <v>294</v>
      </c>
      <c r="B35" s="380"/>
      <c r="C35" s="413">
        <v>0</v>
      </c>
      <c r="D35" s="400">
        <v>0</v>
      </c>
      <c r="E35" s="413">
        <v>21114.2</v>
      </c>
      <c r="F35" s="400">
        <v>88.11183942559983</v>
      </c>
      <c r="G35" s="382"/>
      <c r="H35" s="380"/>
      <c r="I35" s="15"/>
    </row>
    <row r="36" spans="1:9" ht="12.75" customHeight="1">
      <c r="A36" s="389" t="s">
        <v>295</v>
      </c>
      <c r="B36" s="380"/>
      <c r="C36" s="413">
        <v>25929.3</v>
      </c>
      <c r="D36" s="400">
        <v>74.25001831904449</v>
      </c>
      <c r="E36" s="413">
        <v>161648.8</v>
      </c>
      <c r="F36" s="400">
        <v>106.5803946580488</v>
      </c>
      <c r="G36" s="382"/>
      <c r="H36" s="380"/>
      <c r="I36" s="15"/>
    </row>
    <row r="37" spans="1:9" ht="12.75" customHeight="1">
      <c r="A37" s="389" t="s">
        <v>1216</v>
      </c>
      <c r="B37" s="380"/>
      <c r="C37" s="413">
        <v>0</v>
      </c>
      <c r="D37" s="400">
        <v>0</v>
      </c>
      <c r="E37" s="413">
        <v>8975.8</v>
      </c>
      <c r="F37" s="400">
        <v>171.7285478731701</v>
      </c>
      <c r="G37" s="382"/>
      <c r="H37" s="380"/>
      <c r="I37" s="15"/>
    </row>
    <row r="38" spans="1:9" ht="12.75" customHeight="1">
      <c r="A38" s="389" t="s">
        <v>293</v>
      </c>
      <c r="B38" s="380"/>
      <c r="C38" s="413">
        <v>7488</v>
      </c>
      <c r="D38" s="400">
        <v>87.40104166666667</v>
      </c>
      <c r="E38" s="413">
        <v>211074.80000000002</v>
      </c>
      <c r="F38" s="400">
        <v>170.70924430581007</v>
      </c>
      <c r="G38" s="382"/>
      <c r="H38" s="380"/>
      <c r="I38" s="15"/>
    </row>
    <row r="39" spans="1:9" ht="12.75" customHeight="1">
      <c r="A39" s="389" t="s">
        <v>1217</v>
      </c>
      <c r="B39" s="380"/>
      <c r="C39" s="413">
        <v>0</v>
      </c>
      <c r="D39" s="400">
        <v>0</v>
      </c>
      <c r="E39" s="413">
        <v>33879.8</v>
      </c>
      <c r="F39" s="400">
        <v>192.20977691721907</v>
      </c>
      <c r="G39" s="382"/>
      <c r="H39" s="380"/>
      <c r="I39" s="15"/>
    </row>
    <row r="40" spans="1:9" ht="12.75" customHeight="1">
      <c r="A40" s="389" t="s">
        <v>1218</v>
      </c>
      <c r="B40" s="380"/>
      <c r="C40" s="413">
        <v>0</v>
      </c>
      <c r="D40" s="400">
        <v>0</v>
      </c>
      <c r="E40" s="413">
        <v>38433.200000000004</v>
      </c>
      <c r="F40" s="400">
        <v>166.26612408022228</v>
      </c>
      <c r="G40" s="382"/>
      <c r="H40" s="380"/>
      <c r="I40" s="15"/>
    </row>
    <row r="41" spans="1:9" ht="12.75" customHeight="1">
      <c r="A41" s="389" t="s">
        <v>296</v>
      </c>
      <c r="B41" s="380"/>
      <c r="C41" s="413">
        <v>8478</v>
      </c>
      <c r="D41" s="400">
        <v>72.30150979004482</v>
      </c>
      <c r="E41" s="413">
        <v>178089.10000000003</v>
      </c>
      <c r="F41" s="400">
        <v>144.18555711719577</v>
      </c>
      <c r="G41" s="382"/>
      <c r="H41" s="380"/>
      <c r="I41" s="15"/>
    </row>
    <row r="42" spans="1:9" ht="12.75" customHeight="1">
      <c r="A42" s="389" t="s">
        <v>297</v>
      </c>
      <c r="B42" s="380"/>
      <c r="C42" s="413">
        <v>2495.5</v>
      </c>
      <c r="D42" s="400">
        <v>71.79903826888399</v>
      </c>
      <c r="E42" s="413">
        <v>89465.5</v>
      </c>
      <c r="F42" s="400">
        <v>106.9894853323348</v>
      </c>
      <c r="G42" s="382"/>
      <c r="H42" s="380"/>
      <c r="I42" s="15"/>
    </row>
    <row r="43" spans="1:9" ht="12.75" customHeight="1">
      <c r="A43" s="389" t="s">
        <v>313</v>
      </c>
      <c r="B43" s="380"/>
      <c r="C43" s="413">
        <v>4486.7</v>
      </c>
      <c r="D43" s="400">
        <v>110.72202286758643</v>
      </c>
      <c r="E43" s="413">
        <v>83692.7</v>
      </c>
      <c r="F43" s="400">
        <v>157.3526209573834</v>
      </c>
      <c r="G43" s="382"/>
      <c r="H43" s="380"/>
      <c r="I43" s="15"/>
    </row>
    <row r="44" spans="1:9" ht="12.75" customHeight="1">
      <c r="A44" s="389" t="s">
        <v>298</v>
      </c>
      <c r="B44" s="380"/>
      <c r="C44" s="413">
        <v>11731.9</v>
      </c>
      <c r="D44" s="400">
        <v>97.78660745488796</v>
      </c>
      <c r="E44" s="413">
        <v>574185.8</v>
      </c>
      <c r="F44" s="400">
        <v>165.45082184198913</v>
      </c>
      <c r="G44" s="382"/>
      <c r="H44" s="380"/>
      <c r="I44" s="15"/>
    </row>
    <row r="45" spans="1:9" ht="12.75" customHeight="1">
      <c r="A45" s="389" t="s">
        <v>1219</v>
      </c>
      <c r="B45" s="380"/>
      <c r="C45" s="413">
        <v>998.5</v>
      </c>
      <c r="D45" s="400">
        <v>165</v>
      </c>
      <c r="E45" s="413">
        <v>65886.7</v>
      </c>
      <c r="F45" s="400">
        <v>190.17907863043678</v>
      </c>
      <c r="G45" s="382"/>
      <c r="H45" s="380"/>
      <c r="I45" s="15"/>
    </row>
    <row r="46" spans="1:9" ht="12.75" customHeight="1">
      <c r="A46" s="389" t="s">
        <v>299</v>
      </c>
      <c r="B46" s="380"/>
      <c r="C46" s="413">
        <v>499.2</v>
      </c>
      <c r="D46" s="400">
        <v>80</v>
      </c>
      <c r="E46" s="413">
        <v>78745.29999999999</v>
      </c>
      <c r="F46" s="400">
        <v>114.88483630134118</v>
      </c>
      <c r="G46" s="382"/>
      <c r="H46" s="380"/>
      <c r="I46" s="15"/>
    </row>
    <row r="47" spans="1:9" ht="12.75" customHeight="1">
      <c r="A47" s="389" t="s">
        <v>1220</v>
      </c>
      <c r="B47" s="380"/>
      <c r="C47" s="413">
        <v>0</v>
      </c>
      <c r="D47" s="400">
        <v>0</v>
      </c>
      <c r="E47" s="413">
        <v>17966.1</v>
      </c>
      <c r="F47" s="400">
        <v>108.66740694975537</v>
      </c>
      <c r="G47" s="382"/>
      <c r="H47" s="380"/>
      <c r="I47" s="15"/>
    </row>
    <row r="48" spans="1:9" ht="12.75" customHeight="1">
      <c r="A48" s="389" t="s">
        <v>300</v>
      </c>
      <c r="B48" s="380"/>
      <c r="C48" s="413">
        <v>0</v>
      </c>
      <c r="D48" s="400">
        <v>0</v>
      </c>
      <c r="E48" s="413">
        <v>93071.2</v>
      </c>
      <c r="F48" s="400">
        <v>113.54569404928701</v>
      </c>
      <c r="G48" s="382"/>
      <c r="H48" s="380"/>
      <c r="I48" s="15"/>
    </row>
    <row r="49" spans="1:9" ht="12.75" customHeight="1">
      <c r="A49" s="389" t="s">
        <v>301</v>
      </c>
      <c r="B49" s="380"/>
      <c r="C49" s="413">
        <v>31283.6</v>
      </c>
      <c r="D49" s="400">
        <v>147.5128246109783</v>
      </c>
      <c r="E49" s="413">
        <v>886873.9</v>
      </c>
      <c r="F49" s="400">
        <v>192.29605809800017</v>
      </c>
      <c r="G49" s="382"/>
      <c r="H49" s="380"/>
      <c r="I49" s="15"/>
    </row>
    <row r="50" spans="1:9" ht="12.75" customHeight="1">
      <c r="A50" s="389" t="s">
        <v>302</v>
      </c>
      <c r="B50" s="380"/>
      <c r="C50" s="413">
        <v>3477.2</v>
      </c>
      <c r="D50" s="400">
        <v>79.84585298516048</v>
      </c>
      <c r="E50" s="413">
        <v>195996.50000000006</v>
      </c>
      <c r="F50" s="400">
        <v>108.95363233527127</v>
      </c>
      <c r="G50" s="382"/>
      <c r="H50" s="380"/>
      <c r="I50" s="15"/>
    </row>
    <row r="51" spans="1:9" ht="12.75" customHeight="1">
      <c r="A51" s="389" t="s">
        <v>303</v>
      </c>
      <c r="B51" s="380"/>
      <c r="C51" s="413">
        <v>0</v>
      </c>
      <c r="D51" s="400">
        <v>0</v>
      </c>
      <c r="E51" s="413">
        <v>178976.2</v>
      </c>
      <c r="F51" s="400">
        <v>126.00031009709672</v>
      </c>
      <c r="G51" s="382"/>
      <c r="H51" s="380"/>
      <c r="I51" s="15"/>
    </row>
    <row r="52" spans="1:9" ht="12.75" customHeight="1">
      <c r="A52" s="389" t="s">
        <v>314</v>
      </c>
      <c r="B52" s="380"/>
      <c r="C52" s="413">
        <v>0</v>
      </c>
      <c r="D52" s="400">
        <v>0</v>
      </c>
      <c r="E52" s="413">
        <v>65092.2</v>
      </c>
      <c r="F52" s="400">
        <v>162.99304524966126</v>
      </c>
      <c r="G52" s="382"/>
      <c r="H52" s="380"/>
      <c r="I52" s="15"/>
    </row>
    <row r="53" spans="1:9" ht="12.75" customHeight="1">
      <c r="A53" s="389" t="s">
        <v>1221</v>
      </c>
      <c r="B53" s="380"/>
      <c r="C53" s="501">
        <v>0</v>
      </c>
      <c r="D53" s="404">
        <v>0</v>
      </c>
      <c r="E53" s="501">
        <v>12413.2</v>
      </c>
      <c r="F53" s="404">
        <v>97.331026649051</v>
      </c>
      <c r="G53" s="382"/>
      <c r="H53" s="380"/>
      <c r="I53" s="15"/>
    </row>
    <row r="54" spans="1:9" ht="12.75" customHeight="1">
      <c r="A54" s="389" t="s">
        <v>304</v>
      </c>
      <c r="B54" s="380"/>
      <c r="C54" s="501">
        <v>163423.4</v>
      </c>
      <c r="D54" s="404">
        <v>120.28217501288063</v>
      </c>
      <c r="E54" s="501">
        <v>6536123</v>
      </c>
      <c r="F54" s="404">
        <v>172.28406279991975</v>
      </c>
      <c r="G54" s="382"/>
      <c r="H54" s="380"/>
      <c r="I54" s="15"/>
    </row>
    <row r="55" spans="1:9" ht="12.75" customHeight="1">
      <c r="A55" s="392" t="s">
        <v>36</v>
      </c>
      <c r="B55" s="380"/>
      <c r="C55" s="413"/>
      <c r="D55" s="400"/>
      <c r="E55" s="413"/>
      <c r="F55" s="400"/>
      <c r="G55" s="382"/>
      <c r="H55" s="380"/>
      <c r="I55" s="15"/>
    </row>
    <row r="56" spans="1:9" ht="12.75" customHeight="1">
      <c r="A56" s="392" t="s">
        <v>1222</v>
      </c>
      <c r="B56" s="390"/>
      <c r="C56" s="393" t="s">
        <v>0</v>
      </c>
      <c r="D56" s="394" t="s">
        <v>1</v>
      </c>
      <c r="E56" s="393" t="s">
        <v>0</v>
      </c>
      <c r="F56" s="394" t="s">
        <v>1</v>
      </c>
      <c r="G56" s="382"/>
      <c r="H56" s="380"/>
      <c r="I56" s="15"/>
    </row>
    <row r="57" spans="1:9" ht="12.75" customHeight="1">
      <c r="A57" s="389" t="s">
        <v>1223</v>
      </c>
      <c r="B57" s="380"/>
      <c r="C57" s="413">
        <v>0</v>
      </c>
      <c r="D57" s="400">
        <v>0</v>
      </c>
      <c r="E57" s="413">
        <v>10979.6</v>
      </c>
      <c r="F57" s="400">
        <v>122.77976429013806</v>
      </c>
      <c r="G57" s="382"/>
      <c r="H57" s="380"/>
      <c r="I57" s="15"/>
    </row>
    <row r="58" spans="1:9" ht="12.75" customHeight="1">
      <c r="A58" s="389" t="s">
        <v>1224</v>
      </c>
      <c r="B58" s="380"/>
      <c r="C58" s="413">
        <v>0</v>
      </c>
      <c r="D58" s="400">
        <v>0</v>
      </c>
      <c r="E58" s="413">
        <v>11368.6</v>
      </c>
      <c r="F58" s="400">
        <v>145.43879633376142</v>
      </c>
      <c r="G58" s="382"/>
      <c r="H58" s="380"/>
      <c r="I58" s="15"/>
    </row>
    <row r="59" spans="1:9" ht="12.75" customHeight="1">
      <c r="A59" s="389" t="s">
        <v>1225</v>
      </c>
      <c r="B59" s="380"/>
      <c r="C59" s="413">
        <v>0</v>
      </c>
      <c r="D59" s="400">
        <v>0</v>
      </c>
      <c r="E59" s="501">
        <v>43903.5</v>
      </c>
      <c r="F59" s="404">
        <v>161.5758242509139</v>
      </c>
      <c r="G59" s="382"/>
      <c r="H59" s="380"/>
      <c r="I59" s="15"/>
    </row>
    <row r="60" spans="1:9" ht="12.75" customHeight="1">
      <c r="A60" s="389" t="s">
        <v>304</v>
      </c>
      <c r="B60" s="380"/>
      <c r="C60" s="501">
        <v>0</v>
      </c>
      <c r="D60" s="404">
        <v>0</v>
      </c>
      <c r="E60" s="501">
        <v>66251.7</v>
      </c>
      <c r="F60" s="404">
        <v>152.3772582439394</v>
      </c>
      <c r="G60" s="382"/>
      <c r="H60" s="380"/>
      <c r="I60" s="15"/>
    </row>
    <row r="61" spans="1:9" ht="12.75" customHeight="1">
      <c r="A61" s="389" t="s">
        <v>1226</v>
      </c>
      <c r="B61" s="380"/>
      <c r="C61" s="501">
        <v>163423.4</v>
      </c>
      <c r="D61" s="404">
        <v>120.28217501288063</v>
      </c>
      <c r="E61" s="501">
        <v>6602374.7</v>
      </c>
      <c r="F61" s="404">
        <v>172.0843074538014</v>
      </c>
      <c r="G61" s="382"/>
      <c r="H61" s="380"/>
      <c r="I61" s="15"/>
    </row>
    <row r="62" spans="1:9" ht="12.75" customHeight="1">
      <c r="A62" s="392" t="s">
        <v>1227</v>
      </c>
      <c r="B62" s="390"/>
      <c r="C62" s="393" t="s">
        <v>306</v>
      </c>
      <c r="D62" s="394" t="s">
        <v>307</v>
      </c>
      <c r="E62" s="393" t="s">
        <v>306</v>
      </c>
      <c r="F62" s="394" t="s">
        <v>307</v>
      </c>
      <c r="G62" s="382"/>
      <c r="H62" s="380"/>
      <c r="I62" s="15"/>
    </row>
    <row r="63" spans="1:9" ht="12.75" customHeight="1">
      <c r="A63" s="389" t="s">
        <v>287</v>
      </c>
      <c r="B63" s="380"/>
      <c r="C63" s="413">
        <v>20</v>
      </c>
      <c r="D63" s="400">
        <v>700</v>
      </c>
      <c r="E63" s="413">
        <v>261</v>
      </c>
      <c r="F63" s="400">
        <v>1154.6360153256705</v>
      </c>
      <c r="G63" s="382"/>
      <c r="H63" s="380"/>
      <c r="I63" s="15"/>
    </row>
    <row r="64" spans="1:9" ht="12.75" customHeight="1">
      <c r="A64" s="389" t="s">
        <v>1218</v>
      </c>
      <c r="B64" s="380"/>
      <c r="C64" s="501">
        <v>0</v>
      </c>
      <c r="D64" s="404">
        <v>0</v>
      </c>
      <c r="E64" s="501">
        <v>12</v>
      </c>
      <c r="F64" s="404">
        <v>1212.5</v>
      </c>
      <c r="G64" s="382"/>
      <c r="H64" s="380"/>
      <c r="I64" s="15"/>
    </row>
    <row r="65" spans="1:9" ht="12.75" customHeight="1">
      <c r="A65" s="389" t="s">
        <v>304</v>
      </c>
      <c r="B65" s="380"/>
      <c r="C65" s="501">
        <v>20</v>
      </c>
      <c r="D65" s="404">
        <v>700</v>
      </c>
      <c r="E65" s="501">
        <v>273</v>
      </c>
      <c r="F65" s="404">
        <v>1157.179487179487</v>
      </c>
      <c r="G65" s="382"/>
      <c r="H65" s="380"/>
      <c r="I65" s="15"/>
    </row>
    <row r="66" spans="1:9" ht="12.75" customHeight="1">
      <c r="A66" s="389" t="s">
        <v>1226</v>
      </c>
      <c r="B66" s="380"/>
      <c r="C66" s="413">
        <v>163443.4</v>
      </c>
      <c r="D66" s="400">
        <v>120.35311306544037</v>
      </c>
      <c r="E66" s="413">
        <v>6603146.2</v>
      </c>
      <c r="F66" s="400">
        <v>172.11785683315625</v>
      </c>
      <c r="G66" s="382"/>
      <c r="H66" s="380"/>
      <c r="I66" s="15"/>
    </row>
    <row r="67" spans="1:9" ht="12.75" customHeight="1">
      <c r="A67" s="392" t="s">
        <v>1228</v>
      </c>
      <c r="B67" s="390"/>
      <c r="C67" s="393" t="s">
        <v>0</v>
      </c>
      <c r="D67" s="394" t="s">
        <v>1</v>
      </c>
      <c r="E67" s="393" t="s">
        <v>0</v>
      </c>
      <c r="F67" s="394" t="s">
        <v>1</v>
      </c>
      <c r="G67" s="382"/>
      <c r="H67" s="380"/>
      <c r="I67" s="15"/>
    </row>
    <row r="68" spans="1:9" ht="12.75" customHeight="1">
      <c r="A68" s="389" t="s">
        <v>278</v>
      </c>
      <c r="B68" s="380"/>
      <c r="C68" s="413">
        <v>0</v>
      </c>
      <c r="D68" s="400">
        <v>0</v>
      </c>
      <c r="E68" s="413">
        <v>1183</v>
      </c>
      <c r="F68" s="400">
        <v>217.62890955198648</v>
      </c>
      <c r="G68" s="382"/>
      <c r="H68" s="380"/>
      <c r="I68" s="15"/>
    </row>
    <row r="69" spans="1:9" ht="12.75" customHeight="1">
      <c r="A69" s="389" t="s">
        <v>294</v>
      </c>
      <c r="B69" s="380"/>
      <c r="C69" s="413">
        <v>0</v>
      </c>
      <c r="D69" s="400">
        <v>0</v>
      </c>
      <c r="E69" s="501">
        <v>497</v>
      </c>
      <c r="F69" s="404">
        <v>115</v>
      </c>
      <c r="G69" s="382"/>
      <c r="H69" s="380"/>
      <c r="I69" s="15"/>
    </row>
    <row r="70" spans="1:9" ht="12.75" customHeight="1">
      <c r="A70" s="389" t="s">
        <v>304</v>
      </c>
      <c r="B70" s="380"/>
      <c r="C70" s="501">
        <v>0</v>
      </c>
      <c r="D70" s="404">
        <v>0</v>
      </c>
      <c r="E70" s="501">
        <v>1680</v>
      </c>
      <c r="F70" s="404">
        <v>187.26785714285714</v>
      </c>
      <c r="G70" s="382"/>
      <c r="H70" s="380"/>
      <c r="I70" s="15"/>
    </row>
    <row r="71" spans="1:9" ht="12.75" customHeight="1">
      <c r="A71" s="389" t="s">
        <v>308</v>
      </c>
      <c r="B71" s="380"/>
      <c r="C71" s="501">
        <v>163443.4</v>
      </c>
      <c r="D71" s="404">
        <v>120.35311306544037</v>
      </c>
      <c r="E71" s="501">
        <v>6604327.7</v>
      </c>
      <c r="F71" s="404">
        <v>172.12889024268128</v>
      </c>
      <c r="G71" s="382"/>
      <c r="H71" s="380"/>
      <c r="I71" s="15"/>
    </row>
    <row r="72" spans="1:9" ht="12.75" customHeight="1">
      <c r="A72" s="389"/>
      <c r="B72" s="380"/>
      <c r="C72" s="501" t="s">
        <v>1483</v>
      </c>
      <c r="D72" s="400"/>
      <c r="F72" s="400"/>
      <c r="G72" s="382"/>
      <c r="H72" s="501" t="s">
        <v>1486</v>
      </c>
      <c r="I72" s="15"/>
    </row>
    <row r="73" spans="1:9" ht="12.75" customHeight="1">
      <c r="A73" s="392" t="s">
        <v>40</v>
      </c>
      <c r="B73" s="390" t="s">
        <v>41</v>
      </c>
      <c r="C73" s="393" t="s">
        <v>0</v>
      </c>
      <c r="D73" s="394" t="s">
        <v>164</v>
      </c>
      <c r="E73" s="393" t="s">
        <v>41</v>
      </c>
      <c r="F73" s="394" t="s">
        <v>0</v>
      </c>
      <c r="G73" s="502" t="s">
        <v>164</v>
      </c>
      <c r="H73" s="390" t="s">
        <v>2</v>
      </c>
      <c r="I73" s="15"/>
    </row>
    <row r="74" spans="1:9" ht="12.75" customHeight="1">
      <c r="A74" s="389" t="s">
        <v>42</v>
      </c>
      <c r="B74" s="380">
        <v>0</v>
      </c>
      <c r="C74" s="413">
        <v>0</v>
      </c>
      <c r="D74" s="400">
        <v>0</v>
      </c>
      <c r="E74" s="624">
        <v>5</v>
      </c>
      <c r="F74" s="415">
        <v>249.5</v>
      </c>
      <c r="G74" s="498">
        <v>210</v>
      </c>
      <c r="H74" s="500">
        <v>3.777825864092117E-05</v>
      </c>
      <c r="I74" s="15"/>
    </row>
    <row r="75" spans="1:9" ht="12.75" customHeight="1">
      <c r="A75" s="389" t="s">
        <v>43</v>
      </c>
      <c r="B75" s="390">
        <v>3281</v>
      </c>
      <c r="C75" s="393">
        <v>163443.4</v>
      </c>
      <c r="D75" s="394">
        <v>120.3531130654404</v>
      </c>
      <c r="E75" s="625">
        <v>132421</v>
      </c>
      <c r="F75" s="424">
        <v>6604078.199999999</v>
      </c>
      <c r="G75" s="626">
        <v>172.12745948405035</v>
      </c>
      <c r="H75" s="555">
        <v>0.9999622217413591</v>
      </c>
      <c r="I75" s="15"/>
    </row>
    <row r="76" spans="1:9" ht="12.75" customHeight="1">
      <c r="A76" s="389" t="s">
        <v>44</v>
      </c>
      <c r="B76" s="390">
        <v>3281</v>
      </c>
      <c r="C76" s="393">
        <v>163443.4</v>
      </c>
      <c r="D76" s="394">
        <v>120.3531130654404</v>
      </c>
      <c r="E76" s="625">
        <v>132426</v>
      </c>
      <c r="F76" s="424">
        <v>6604327.699999999</v>
      </c>
      <c r="G76" s="626">
        <v>172.12889024268134</v>
      </c>
      <c r="H76" s="555">
        <v>1</v>
      </c>
      <c r="I76" s="15"/>
    </row>
    <row r="77" spans="1:9" ht="12.75" customHeight="1">
      <c r="A77" s="392"/>
      <c r="B77" s="380"/>
      <c r="C77" s="393"/>
      <c r="D77" s="394"/>
      <c r="E77" s="393"/>
      <c r="F77" s="394"/>
      <c r="G77" s="382"/>
      <c r="H77" s="380"/>
      <c r="I77" s="15"/>
    </row>
    <row r="78" spans="1:9" ht="12.75" customHeight="1">
      <c r="A78" s="141"/>
      <c r="B78" s="138"/>
      <c r="C78" s="142"/>
      <c r="D78" s="584"/>
      <c r="E78" s="142"/>
      <c r="F78" s="585"/>
      <c r="G78" s="138"/>
      <c r="H78" s="586"/>
      <c r="I78" s="15"/>
    </row>
    <row r="79" spans="1:9" ht="12.75" customHeight="1">
      <c r="A79" s="141"/>
      <c r="B79" s="138"/>
      <c r="C79" s="142"/>
      <c r="D79" s="584"/>
      <c r="E79" s="142"/>
      <c r="F79" s="585"/>
      <c r="G79" s="138"/>
      <c r="H79" s="586"/>
      <c r="I79" s="15"/>
    </row>
    <row r="80" spans="1:9" ht="12.75" customHeight="1">
      <c r="A80" s="141"/>
      <c r="B80" s="138"/>
      <c r="C80" s="142"/>
      <c r="D80" s="584"/>
      <c r="E80" s="142"/>
      <c r="F80" s="585"/>
      <c r="G80" s="138"/>
      <c r="H80" s="586"/>
      <c r="I80" s="15"/>
    </row>
    <row r="81" spans="1:9" ht="12.75" customHeight="1">
      <c r="A81" s="141"/>
      <c r="B81" s="138"/>
      <c r="C81" s="142"/>
      <c r="D81" s="584"/>
      <c r="E81" s="142"/>
      <c r="F81" s="585"/>
      <c r="G81" s="138"/>
      <c r="H81" s="586"/>
      <c r="I81" s="15"/>
    </row>
    <row r="82" spans="1:9" ht="12.75" customHeight="1">
      <c r="A82" s="141"/>
      <c r="B82" s="138"/>
      <c r="C82" s="142"/>
      <c r="D82" s="584"/>
      <c r="E82" s="142"/>
      <c r="F82" s="585"/>
      <c r="G82" s="138"/>
      <c r="H82" s="586"/>
      <c r="I82" s="15"/>
    </row>
    <row r="83" spans="1:9" ht="12.75" customHeight="1">
      <c r="A83" s="141"/>
      <c r="B83" s="138"/>
      <c r="C83" s="142"/>
      <c r="D83" s="584"/>
      <c r="E83" s="142"/>
      <c r="F83" s="585"/>
      <c r="G83" s="138"/>
      <c r="H83" s="586"/>
      <c r="I83" s="15"/>
    </row>
    <row r="84" spans="1:9" ht="12.75" customHeight="1">
      <c r="A84" s="141"/>
      <c r="B84" s="138"/>
      <c r="C84" s="142"/>
      <c r="D84" s="584"/>
      <c r="E84" s="142"/>
      <c r="F84" s="585"/>
      <c r="G84" s="138"/>
      <c r="H84" s="586"/>
      <c r="I84" s="15"/>
    </row>
    <row r="85" spans="1:9" ht="12.75" customHeight="1">
      <c r="A85" s="141"/>
      <c r="B85" s="138"/>
      <c r="C85" s="142"/>
      <c r="D85" s="584"/>
      <c r="E85" s="142"/>
      <c r="F85" s="585"/>
      <c r="G85" s="138"/>
      <c r="H85" s="586"/>
      <c r="I85" s="15"/>
    </row>
    <row r="86" spans="1:9" ht="12.75" customHeight="1">
      <c r="A86" s="141"/>
      <c r="B86" s="138"/>
      <c r="C86" s="142"/>
      <c r="D86" s="584"/>
      <c r="E86" s="142"/>
      <c r="F86" s="585"/>
      <c r="G86" s="138"/>
      <c r="H86" s="586"/>
      <c r="I86" s="15"/>
    </row>
    <row r="87" spans="1:9" ht="12.75" customHeight="1">
      <c r="A87" s="141"/>
      <c r="B87" s="138"/>
      <c r="C87" s="142"/>
      <c r="D87" s="584"/>
      <c r="E87" s="142"/>
      <c r="F87" s="585"/>
      <c r="G87" s="138"/>
      <c r="H87" s="586"/>
      <c r="I87" s="15"/>
    </row>
    <row r="88" spans="1:9" ht="12.75" customHeight="1">
      <c r="A88" s="141"/>
      <c r="B88" s="138"/>
      <c r="C88" s="142"/>
      <c r="D88" s="584"/>
      <c r="E88" s="142"/>
      <c r="F88" s="585"/>
      <c r="G88" s="138"/>
      <c r="H88" s="586"/>
      <c r="I88" s="15"/>
    </row>
    <row r="89" spans="1:9" ht="12.75" customHeight="1">
      <c r="A89" s="141"/>
      <c r="B89" s="138"/>
      <c r="C89" s="142"/>
      <c r="D89" s="584"/>
      <c r="E89" s="142"/>
      <c r="F89" s="585"/>
      <c r="G89" s="138"/>
      <c r="H89" s="586"/>
      <c r="I89" s="15"/>
    </row>
    <row r="90" spans="1:9" ht="12.75" customHeight="1">
      <c r="A90" s="141"/>
      <c r="B90" s="138"/>
      <c r="C90" s="142"/>
      <c r="D90" s="584"/>
      <c r="E90" s="142"/>
      <c r="F90" s="585"/>
      <c r="G90" s="138"/>
      <c r="H90" s="586"/>
      <c r="I90" s="15"/>
    </row>
    <row r="91" spans="1:9" ht="12.75" customHeight="1">
      <c r="A91" s="141"/>
      <c r="B91" s="138"/>
      <c r="C91" s="142"/>
      <c r="D91" s="584"/>
      <c r="E91" s="142"/>
      <c r="F91" s="585"/>
      <c r="G91" s="138"/>
      <c r="H91" s="586"/>
      <c r="I91" s="15"/>
    </row>
    <row r="92" spans="1:9" ht="12.75" customHeight="1">
      <c r="A92" s="141"/>
      <c r="B92" s="138"/>
      <c r="C92" s="142"/>
      <c r="D92" s="584"/>
      <c r="E92" s="142"/>
      <c r="F92" s="585"/>
      <c r="G92" s="138"/>
      <c r="H92" s="586"/>
      <c r="I92" s="15"/>
    </row>
    <row r="93" spans="1:9" ht="12.75" customHeight="1">
      <c r="A93" s="141"/>
      <c r="B93" s="138"/>
      <c r="C93" s="142"/>
      <c r="D93" s="584"/>
      <c r="E93" s="142"/>
      <c r="F93" s="585"/>
      <c r="G93" s="138"/>
      <c r="H93" s="586"/>
      <c r="I93" s="15"/>
    </row>
    <row r="94" spans="1:9" ht="12.75" customHeight="1">
      <c r="A94" s="141"/>
      <c r="B94" s="138"/>
      <c r="C94" s="142"/>
      <c r="D94" s="584"/>
      <c r="E94" s="142"/>
      <c r="F94" s="585"/>
      <c r="G94" s="138"/>
      <c r="H94" s="586"/>
      <c r="I94" s="15"/>
    </row>
    <row r="95" spans="1:9" ht="12.75" customHeight="1">
      <c r="A95" s="141"/>
      <c r="B95" s="138"/>
      <c r="C95" s="142"/>
      <c r="D95" s="584"/>
      <c r="E95" s="142"/>
      <c r="F95" s="585"/>
      <c r="G95" s="138"/>
      <c r="H95" s="586"/>
      <c r="I95" s="15"/>
    </row>
    <row r="96" spans="1:9" ht="12.75" customHeight="1">
      <c r="A96" s="141"/>
      <c r="B96" s="138"/>
      <c r="C96" s="142"/>
      <c r="D96" s="584"/>
      <c r="E96" s="142"/>
      <c r="F96" s="585"/>
      <c r="G96" s="138"/>
      <c r="H96" s="586"/>
      <c r="I96" s="15"/>
    </row>
    <row r="97" spans="1:9" ht="12.75" customHeight="1">
      <c r="A97" s="141"/>
      <c r="B97" s="138"/>
      <c r="C97" s="142"/>
      <c r="D97" s="584"/>
      <c r="E97" s="142"/>
      <c r="F97" s="585"/>
      <c r="G97" s="138"/>
      <c r="H97" s="586"/>
      <c r="I97" s="15"/>
    </row>
    <row r="98" spans="1:9" ht="12.75" customHeight="1">
      <c r="A98" s="141"/>
      <c r="B98" s="138"/>
      <c r="C98" s="142"/>
      <c r="D98" s="584"/>
      <c r="E98" s="142"/>
      <c r="F98" s="585"/>
      <c r="G98" s="138"/>
      <c r="H98" s="586"/>
      <c r="I98" s="15"/>
    </row>
    <row r="99" spans="1:9" ht="12.75" customHeight="1">
      <c r="A99" s="141"/>
      <c r="B99" s="138"/>
      <c r="C99" s="142"/>
      <c r="D99" s="584"/>
      <c r="E99" s="142"/>
      <c r="F99" s="585"/>
      <c r="G99" s="138"/>
      <c r="H99" s="586"/>
      <c r="I99" s="15"/>
    </row>
    <row r="100" spans="1:9" ht="12.75" customHeight="1">
      <c r="A100" s="141"/>
      <c r="B100" s="138"/>
      <c r="C100" s="142"/>
      <c r="D100" s="584"/>
      <c r="E100" s="142"/>
      <c r="F100" s="585"/>
      <c r="G100" s="138"/>
      <c r="H100" s="586"/>
      <c r="I100" s="15"/>
    </row>
    <row r="101" spans="1:9" ht="12.75" customHeight="1">
      <c r="A101" s="141"/>
      <c r="B101" s="138"/>
      <c r="C101" s="142"/>
      <c r="D101" s="584"/>
      <c r="E101" s="142"/>
      <c r="F101" s="585"/>
      <c r="G101" s="138"/>
      <c r="H101" s="586"/>
      <c r="I101" s="15"/>
    </row>
    <row r="102" spans="1:9" ht="12.75" customHeight="1">
      <c r="A102" s="141"/>
      <c r="B102" s="138"/>
      <c r="C102" s="142"/>
      <c r="D102" s="584"/>
      <c r="E102" s="142"/>
      <c r="F102" s="585"/>
      <c r="G102" s="138"/>
      <c r="H102" s="586"/>
      <c r="I102" s="15"/>
    </row>
    <row r="103" spans="1:9" ht="12.75" customHeight="1">
      <c r="A103" s="141"/>
      <c r="B103" s="138"/>
      <c r="C103" s="142"/>
      <c r="D103" s="584"/>
      <c r="E103" s="142"/>
      <c r="F103" s="585"/>
      <c r="G103" s="138"/>
      <c r="H103" s="586"/>
      <c r="I103" s="15"/>
    </row>
    <row r="104" spans="1:9" ht="12.75" customHeight="1">
      <c r="A104" s="141"/>
      <c r="B104" s="138"/>
      <c r="C104" s="142"/>
      <c r="D104" s="584"/>
      <c r="E104" s="142"/>
      <c r="F104" s="585"/>
      <c r="G104" s="138"/>
      <c r="H104" s="586"/>
      <c r="I104" s="15"/>
    </row>
    <row r="105" spans="1:9" ht="12.75" customHeight="1">
      <c r="A105" s="141"/>
      <c r="B105" s="138"/>
      <c r="C105" s="142"/>
      <c r="D105" s="584"/>
      <c r="E105" s="142"/>
      <c r="F105" s="585"/>
      <c r="G105" s="138"/>
      <c r="H105" s="586"/>
      <c r="I105" s="15"/>
    </row>
    <row r="106" spans="1:9" ht="12.75" customHeight="1">
      <c r="A106" s="141"/>
      <c r="B106" s="138"/>
      <c r="C106" s="142"/>
      <c r="D106" s="584"/>
      <c r="E106" s="142"/>
      <c r="F106" s="585"/>
      <c r="G106" s="138"/>
      <c r="H106" s="586"/>
      <c r="I106" s="15"/>
    </row>
    <row r="107" spans="1:9" ht="12.75" customHeight="1">
      <c r="A107" s="141"/>
      <c r="B107" s="138"/>
      <c r="C107" s="142"/>
      <c r="D107" s="584"/>
      <c r="E107" s="142"/>
      <c r="F107" s="585"/>
      <c r="G107" s="138"/>
      <c r="H107" s="586"/>
      <c r="I107" s="15"/>
    </row>
    <row r="108" spans="1:9" ht="12.75" customHeight="1">
      <c r="A108" s="141"/>
      <c r="B108" s="138"/>
      <c r="C108" s="142"/>
      <c r="D108" s="584"/>
      <c r="E108" s="142"/>
      <c r="F108" s="585"/>
      <c r="G108" s="138"/>
      <c r="H108" s="586"/>
      <c r="I108" s="15"/>
    </row>
    <row r="109" spans="1:9" ht="12.75" customHeight="1">
      <c r="A109" s="141"/>
      <c r="B109" s="138"/>
      <c r="C109" s="142"/>
      <c r="D109" s="584"/>
      <c r="E109" s="142"/>
      <c r="F109" s="585"/>
      <c r="G109" s="138"/>
      <c r="H109" s="586"/>
      <c r="I109" s="15"/>
    </row>
    <row r="110" spans="1:9" ht="12.75" customHeight="1">
      <c r="A110" s="141"/>
      <c r="B110" s="138"/>
      <c r="C110" s="142"/>
      <c r="D110" s="584"/>
      <c r="E110" s="142"/>
      <c r="F110" s="585"/>
      <c r="G110" s="138"/>
      <c r="H110" s="586"/>
      <c r="I110" s="15"/>
    </row>
    <row r="111" spans="1:9" ht="12.75" customHeight="1">
      <c r="A111" s="141"/>
      <c r="B111" s="138"/>
      <c r="C111" s="142"/>
      <c r="D111" s="584"/>
      <c r="E111" s="142"/>
      <c r="F111" s="585"/>
      <c r="G111" s="138"/>
      <c r="H111" s="586"/>
      <c r="I111" s="15"/>
    </row>
    <row r="112" spans="1:9" ht="12.75" customHeight="1">
      <c r="A112" s="141"/>
      <c r="B112" s="138"/>
      <c r="C112" s="142"/>
      <c r="D112" s="584"/>
      <c r="E112" s="142"/>
      <c r="F112" s="585"/>
      <c r="G112" s="138"/>
      <c r="H112" s="586"/>
      <c r="I112" s="15"/>
    </row>
    <row r="113" spans="1:9" ht="12.75" customHeight="1">
      <c r="A113" s="141"/>
      <c r="B113" s="138"/>
      <c r="C113" s="142"/>
      <c r="D113" s="584"/>
      <c r="E113" s="142"/>
      <c r="F113" s="585"/>
      <c r="G113" s="138"/>
      <c r="H113" s="586"/>
      <c r="I113" s="15"/>
    </row>
    <row r="114" spans="1:9" ht="12.75" customHeight="1">
      <c r="A114" s="141"/>
      <c r="B114" s="138"/>
      <c r="C114" s="142"/>
      <c r="D114" s="584"/>
      <c r="E114" s="142"/>
      <c r="F114" s="585"/>
      <c r="G114" s="138"/>
      <c r="H114" s="586"/>
      <c r="I114" s="15"/>
    </row>
    <row r="115" spans="1:9" ht="12.75" customHeight="1">
      <c r="A115" s="141"/>
      <c r="B115" s="138"/>
      <c r="C115" s="142"/>
      <c r="D115" s="584"/>
      <c r="E115" s="142"/>
      <c r="F115" s="585"/>
      <c r="G115" s="138"/>
      <c r="H115" s="586"/>
      <c r="I115" s="15"/>
    </row>
    <row r="116" spans="1:9" ht="12.75" customHeight="1">
      <c r="A116" s="141"/>
      <c r="B116" s="138"/>
      <c r="C116" s="142"/>
      <c r="D116" s="584"/>
      <c r="E116" s="142"/>
      <c r="F116" s="585"/>
      <c r="G116" s="138"/>
      <c r="H116" s="586"/>
      <c r="I116" s="15"/>
    </row>
    <row r="117" spans="1:9" ht="12.75" customHeight="1">
      <c r="A117" s="141"/>
      <c r="B117" s="138"/>
      <c r="C117" s="142"/>
      <c r="D117" s="584"/>
      <c r="E117" s="142"/>
      <c r="F117" s="585"/>
      <c r="G117" s="138"/>
      <c r="H117" s="586"/>
      <c r="I117" s="15"/>
    </row>
    <row r="118" spans="1:9" ht="12.75" customHeight="1">
      <c r="A118" s="141"/>
      <c r="B118" s="138"/>
      <c r="C118" s="142"/>
      <c r="D118" s="584"/>
      <c r="E118" s="142"/>
      <c r="F118" s="585"/>
      <c r="G118" s="138"/>
      <c r="H118" s="586"/>
      <c r="I118" s="15"/>
    </row>
    <row r="119" spans="1:9" ht="12.75" customHeight="1">
      <c r="A119" s="141"/>
      <c r="B119" s="138"/>
      <c r="C119" s="142"/>
      <c r="D119" s="584"/>
      <c r="E119" s="142"/>
      <c r="F119" s="585"/>
      <c r="G119" s="138"/>
      <c r="H119" s="586"/>
      <c r="I119" s="15"/>
    </row>
    <row r="120" spans="1:9" ht="12.75" customHeight="1">
      <c r="A120" s="141"/>
      <c r="B120" s="138"/>
      <c r="C120" s="142"/>
      <c r="D120" s="584"/>
      <c r="E120" s="142"/>
      <c r="F120" s="585"/>
      <c r="G120" s="138"/>
      <c r="H120" s="586"/>
      <c r="I120" s="15"/>
    </row>
    <row r="121" spans="1:9" ht="12.75" customHeight="1">
      <c r="A121" s="141"/>
      <c r="B121" s="138"/>
      <c r="C121" s="142"/>
      <c r="D121" s="584"/>
      <c r="E121" s="142"/>
      <c r="F121" s="585"/>
      <c r="G121" s="138"/>
      <c r="H121" s="586"/>
      <c r="I121" s="15"/>
    </row>
    <row r="122" spans="1:9" ht="12.75" customHeight="1">
      <c r="A122" s="141"/>
      <c r="B122" s="138"/>
      <c r="C122" s="587"/>
      <c r="D122" s="588"/>
      <c r="E122" s="587"/>
      <c r="F122" s="589"/>
      <c r="G122" s="138"/>
      <c r="H122" s="586"/>
      <c r="I122" s="15"/>
    </row>
    <row r="123" spans="1:9" ht="12.75" customHeight="1">
      <c r="A123" s="143"/>
      <c r="B123" s="144"/>
      <c r="C123" s="145"/>
      <c r="D123" s="590"/>
      <c r="E123" s="145"/>
      <c r="F123" s="591"/>
      <c r="G123" s="138"/>
      <c r="H123" s="586"/>
      <c r="I123" s="15"/>
    </row>
    <row r="124" spans="1:9" ht="12.75" customHeight="1">
      <c r="A124" s="146"/>
      <c r="B124" s="144"/>
      <c r="C124" s="145"/>
      <c r="D124" s="590"/>
      <c r="E124" s="145"/>
      <c r="F124" s="591"/>
      <c r="G124" s="138"/>
      <c r="H124" s="586"/>
      <c r="I124" s="15"/>
    </row>
    <row r="125" spans="1:9" ht="12.75" customHeight="1">
      <c r="A125" s="146"/>
      <c r="B125" s="144"/>
      <c r="C125" s="145"/>
      <c r="D125" s="590"/>
      <c r="E125" s="145"/>
      <c r="F125" s="592"/>
      <c r="G125" s="138"/>
      <c r="H125" s="586"/>
      <c r="I125" s="15"/>
    </row>
    <row r="126" spans="1:9" ht="12.75" customHeight="1">
      <c r="A126" s="143"/>
      <c r="B126" s="144"/>
      <c r="C126" s="593"/>
      <c r="D126" s="594"/>
      <c r="E126" s="595"/>
      <c r="F126" s="596"/>
      <c r="G126" s="138"/>
      <c r="H126" s="586"/>
      <c r="I126" s="15"/>
    </row>
    <row r="127" spans="1:9" ht="12.75" customHeight="1">
      <c r="A127" s="143"/>
      <c r="B127" s="144"/>
      <c r="C127" s="147"/>
      <c r="D127" s="597"/>
      <c r="E127" s="147"/>
      <c r="F127" s="598"/>
      <c r="G127" s="138"/>
      <c r="H127" s="586"/>
      <c r="I127" s="15"/>
    </row>
    <row r="128" spans="1:9" ht="12.75" customHeight="1">
      <c r="A128" s="143"/>
      <c r="B128" s="144"/>
      <c r="C128" s="147"/>
      <c r="D128" s="597"/>
      <c r="E128" s="145"/>
      <c r="F128" s="599"/>
      <c r="G128" s="138"/>
      <c r="H128" s="586"/>
      <c r="I128" s="15"/>
    </row>
    <row r="129" spans="1:9" ht="12.75" customHeight="1">
      <c r="A129" s="143"/>
      <c r="B129" s="144"/>
      <c r="C129" s="145"/>
      <c r="D129" s="590"/>
      <c r="E129" s="145"/>
      <c r="F129" s="599"/>
      <c r="G129" s="138"/>
      <c r="H129" s="586"/>
      <c r="I129" s="15"/>
    </row>
    <row r="130" spans="1:9" ht="12.75" customHeight="1">
      <c r="A130" s="143"/>
      <c r="B130" s="144"/>
      <c r="C130" s="145"/>
      <c r="D130" s="590"/>
      <c r="E130" s="145"/>
      <c r="F130" s="599"/>
      <c r="G130" s="138"/>
      <c r="H130" s="586"/>
      <c r="I130" s="15"/>
    </row>
    <row r="131" spans="1:9" ht="12.75" customHeight="1">
      <c r="A131" s="146"/>
      <c r="B131" s="144"/>
      <c r="C131" s="145"/>
      <c r="D131" s="590"/>
      <c r="E131" s="145"/>
      <c r="F131" s="592"/>
      <c r="G131" s="138"/>
      <c r="H131" s="586"/>
      <c r="I131" s="15"/>
    </row>
    <row r="132" spans="1:9" ht="12.75" customHeight="1">
      <c r="A132" s="143"/>
      <c r="B132" s="144"/>
      <c r="C132" s="147"/>
      <c r="D132" s="597"/>
      <c r="E132" s="147"/>
      <c r="F132" s="600"/>
      <c r="G132" s="138"/>
      <c r="H132" s="586"/>
      <c r="I132" s="15"/>
    </row>
    <row r="133" spans="1:9" ht="12.75" customHeight="1">
      <c r="A133" s="143"/>
      <c r="B133" s="144"/>
      <c r="C133" s="145"/>
      <c r="D133" s="590"/>
      <c r="E133" s="145"/>
      <c r="F133" s="592"/>
      <c r="G133" s="138"/>
      <c r="H133" s="586"/>
      <c r="I133" s="15"/>
    </row>
    <row r="134" spans="1:9" ht="12.75" customHeight="1">
      <c r="A134" s="143"/>
      <c r="B134" s="144"/>
      <c r="C134" s="145"/>
      <c r="D134" s="590"/>
      <c r="E134" s="145"/>
      <c r="F134" s="592"/>
      <c r="G134" s="138"/>
      <c r="H134" s="586"/>
      <c r="I134" s="15"/>
    </row>
    <row r="135" spans="1:9" ht="12.75" customHeight="1">
      <c r="A135" s="143"/>
      <c r="B135" s="144"/>
      <c r="C135" s="145"/>
      <c r="D135" s="590"/>
      <c r="E135" s="145"/>
      <c r="F135" s="592"/>
      <c r="G135" s="138"/>
      <c r="H135" s="586"/>
      <c r="I135" s="15"/>
    </row>
    <row r="136" spans="1:9" ht="12.75" customHeight="1">
      <c r="A136" s="146"/>
      <c r="B136" s="144"/>
      <c r="C136" s="145"/>
      <c r="D136" s="590"/>
      <c r="E136" s="145"/>
      <c r="F136" s="591"/>
      <c r="G136" s="138"/>
      <c r="H136" s="586"/>
      <c r="I136" s="15"/>
    </row>
    <row r="137" spans="1:9" ht="12.75" customHeight="1">
      <c r="A137" s="143"/>
      <c r="B137" s="144"/>
      <c r="C137" s="593"/>
      <c r="D137" s="594"/>
      <c r="E137" s="142"/>
      <c r="F137" s="596"/>
      <c r="G137" s="138"/>
      <c r="H137" s="586"/>
      <c r="I137" s="15"/>
    </row>
    <row r="138" spans="1:9" ht="12.75" customHeight="1">
      <c r="A138" s="143"/>
      <c r="B138" s="144"/>
      <c r="C138" s="147"/>
      <c r="D138" s="597"/>
      <c r="E138" s="145"/>
      <c r="F138" s="592"/>
      <c r="G138" s="138"/>
      <c r="H138" s="586"/>
      <c r="I138" s="15"/>
    </row>
    <row r="139" spans="1:9" ht="12.75" customHeight="1">
      <c r="A139" s="143"/>
      <c r="B139" s="144"/>
      <c r="C139" s="145"/>
      <c r="D139" s="590"/>
      <c r="E139" s="145"/>
      <c r="F139" s="592"/>
      <c r="G139" s="138"/>
      <c r="H139" s="586"/>
      <c r="I139" s="15"/>
    </row>
    <row r="140" spans="1:9" ht="12.75" customHeight="1">
      <c r="A140" s="143"/>
      <c r="B140" s="144"/>
      <c r="C140" s="145"/>
      <c r="D140" s="590"/>
      <c r="E140" s="145"/>
      <c r="F140" s="592"/>
      <c r="G140" s="138"/>
      <c r="H140" s="586"/>
      <c r="I140" s="15"/>
    </row>
    <row r="141" spans="1:9" ht="12.75" customHeight="1">
      <c r="A141" s="143"/>
      <c r="B141" s="144"/>
      <c r="C141" s="145"/>
      <c r="D141" s="590"/>
      <c r="E141" s="601"/>
      <c r="F141" s="591"/>
      <c r="G141" s="145"/>
      <c r="H141" s="586"/>
      <c r="I141" s="15"/>
    </row>
    <row r="142" spans="1:10" ht="12.75" customHeight="1">
      <c r="A142" s="602"/>
      <c r="B142" s="603"/>
      <c r="C142" s="604"/>
      <c r="D142" s="605"/>
      <c r="E142" s="604"/>
      <c r="F142" s="606"/>
      <c r="G142" s="607"/>
      <c r="H142" s="608"/>
      <c r="I142" s="15"/>
      <c r="J142" s="552"/>
    </row>
    <row r="143" spans="1:10" ht="12.75" customHeight="1">
      <c r="A143" s="143"/>
      <c r="B143" s="609"/>
      <c r="C143" s="610"/>
      <c r="D143" s="597"/>
      <c r="E143" s="609"/>
      <c r="F143" s="610"/>
      <c r="G143" s="597"/>
      <c r="H143" s="597"/>
      <c r="I143" s="15"/>
      <c r="J143" s="552"/>
    </row>
    <row r="144" spans="1:10" ht="12.75" customHeight="1">
      <c r="A144" s="143"/>
      <c r="B144" s="611"/>
      <c r="C144" s="612"/>
      <c r="D144" s="590"/>
      <c r="E144" s="611"/>
      <c r="F144" s="613"/>
      <c r="G144" s="614"/>
      <c r="H144" s="615"/>
      <c r="I144" s="15"/>
      <c r="J144" s="552"/>
    </row>
    <row r="145" spans="1:9" ht="12.75" customHeight="1">
      <c r="A145" s="143"/>
      <c r="B145" s="611"/>
      <c r="C145" s="612"/>
      <c r="D145" s="590"/>
      <c r="E145" s="611"/>
      <c r="F145" s="613"/>
      <c r="G145" s="614"/>
      <c r="H145" s="615"/>
      <c r="I145" s="15"/>
    </row>
    <row r="146" spans="1:9" ht="12.75" customHeight="1">
      <c r="A146" s="143"/>
      <c r="B146" s="616"/>
      <c r="C146" s="145"/>
      <c r="D146" s="590"/>
      <c r="E146" s="616"/>
      <c r="F146" s="617"/>
      <c r="G146" s="591"/>
      <c r="H146" s="618"/>
      <c r="I146" s="15"/>
    </row>
    <row r="147" spans="1:9" ht="12.75" customHeight="1">
      <c r="A147" s="395"/>
      <c r="B147" s="396"/>
      <c r="C147" s="397"/>
      <c r="D147" s="398"/>
      <c r="E147" s="399"/>
      <c r="F147" s="400"/>
      <c r="G147" s="444"/>
      <c r="H147" s="396"/>
      <c r="I147" s="15"/>
    </row>
    <row r="148" spans="1:9" ht="12.75" customHeight="1">
      <c r="A148" s="395"/>
      <c r="B148" s="396"/>
      <c r="C148" s="397"/>
      <c r="D148" s="398"/>
      <c r="E148" s="399"/>
      <c r="F148" s="400"/>
      <c r="G148" s="444"/>
      <c r="H148" s="396"/>
      <c r="I148" s="15"/>
    </row>
    <row r="149" spans="1:9" ht="12.75" customHeight="1">
      <c r="A149" s="395"/>
      <c r="B149" s="396"/>
      <c r="C149" s="397"/>
      <c r="D149" s="398"/>
      <c r="E149" s="399"/>
      <c r="F149" s="400"/>
      <c r="G149" s="444"/>
      <c r="H149" s="396"/>
      <c r="I149" s="15"/>
    </row>
    <row r="150" spans="1:9" ht="12.75" customHeight="1">
      <c r="A150" s="395"/>
      <c r="B150" s="396"/>
      <c r="C150" s="397"/>
      <c r="D150" s="398"/>
      <c r="E150" s="399"/>
      <c r="F150" s="400"/>
      <c r="G150" s="444"/>
      <c r="H150" s="396"/>
      <c r="I150" s="15"/>
    </row>
    <row r="151" spans="1:9" ht="12.75" customHeight="1">
      <c r="A151" s="395"/>
      <c r="B151" s="396"/>
      <c r="C151" s="397"/>
      <c r="D151" s="398"/>
      <c r="E151" s="399"/>
      <c r="F151" s="400"/>
      <c r="G151" s="444"/>
      <c r="H151" s="396"/>
      <c r="I151" s="15"/>
    </row>
    <row r="152" spans="1:9" ht="12.75" customHeight="1">
      <c r="A152" s="395"/>
      <c r="B152" s="396"/>
      <c r="C152" s="397"/>
      <c r="D152" s="398"/>
      <c r="E152" s="399"/>
      <c r="F152" s="400"/>
      <c r="G152" s="444"/>
      <c r="H152" s="396"/>
      <c r="I152" s="15"/>
    </row>
    <row r="153" spans="1:9" ht="12.75" customHeight="1">
      <c r="A153" s="395"/>
      <c r="B153" s="396"/>
      <c r="C153" s="397"/>
      <c r="D153" s="398"/>
      <c r="E153" s="399"/>
      <c r="F153" s="400"/>
      <c r="G153" s="444"/>
      <c r="H153" s="396"/>
      <c r="I153" s="15"/>
    </row>
    <row r="154" spans="1:9" ht="12.75" customHeight="1">
      <c r="A154" s="395"/>
      <c r="B154" s="396"/>
      <c r="C154" s="397"/>
      <c r="D154" s="398"/>
      <c r="E154" s="399"/>
      <c r="F154" s="400"/>
      <c r="G154" s="444"/>
      <c r="H154" s="396"/>
      <c r="I154" s="15"/>
    </row>
    <row r="155" spans="1:9" ht="12.75" customHeight="1">
      <c r="A155" s="395"/>
      <c r="B155" s="396"/>
      <c r="C155" s="397"/>
      <c r="D155" s="398"/>
      <c r="E155" s="399"/>
      <c r="F155" s="400"/>
      <c r="G155" s="444"/>
      <c r="H155" s="396"/>
      <c r="I155" s="15"/>
    </row>
    <row r="156" spans="1:9" ht="12.75" customHeight="1">
      <c r="A156" s="395"/>
      <c r="B156" s="396"/>
      <c r="C156" s="397"/>
      <c r="D156" s="398"/>
      <c r="E156" s="399"/>
      <c r="F156" s="400"/>
      <c r="G156" s="444"/>
      <c r="H156" s="396"/>
      <c r="I156" s="15"/>
    </row>
    <row r="157" spans="1:9" ht="12.75" customHeight="1">
      <c r="A157" s="395"/>
      <c r="B157" s="396"/>
      <c r="C157" s="397"/>
      <c r="D157" s="398"/>
      <c r="E157" s="399"/>
      <c r="F157" s="400"/>
      <c r="G157" s="444"/>
      <c r="H157" s="396"/>
      <c r="I157" s="15"/>
    </row>
    <row r="158" spans="1:9" ht="12.75" customHeight="1">
      <c r="A158" s="395"/>
      <c r="B158" s="396"/>
      <c r="C158" s="397"/>
      <c r="D158" s="398"/>
      <c r="E158" s="399"/>
      <c r="F158" s="400"/>
      <c r="G158" s="444"/>
      <c r="H158" s="396"/>
      <c r="I158" s="15"/>
    </row>
    <row r="159" spans="1:9" ht="12.75" customHeight="1">
      <c r="A159" s="395"/>
      <c r="B159" s="396"/>
      <c r="C159" s="397"/>
      <c r="D159" s="398"/>
      <c r="E159" s="399"/>
      <c r="F159" s="400"/>
      <c r="G159" s="444"/>
      <c r="H159" s="396"/>
      <c r="I159" s="15"/>
    </row>
    <row r="160" spans="1:9" ht="12.75" customHeight="1">
      <c r="A160" s="395"/>
      <c r="B160" s="396"/>
      <c r="C160" s="397"/>
      <c r="D160" s="398"/>
      <c r="E160" s="399"/>
      <c r="F160" s="400"/>
      <c r="G160" s="444"/>
      <c r="H160" s="396"/>
      <c r="I160" s="15"/>
    </row>
    <row r="161" spans="1:9" ht="12.75" customHeight="1">
      <c r="A161" s="395"/>
      <c r="B161" s="396"/>
      <c r="C161" s="397"/>
      <c r="D161" s="398"/>
      <c r="E161" s="399"/>
      <c r="F161" s="400"/>
      <c r="G161" s="444"/>
      <c r="H161" s="396"/>
      <c r="I161" s="15"/>
    </row>
    <row r="162" spans="1:9" ht="12.75" customHeight="1">
      <c r="A162" s="395"/>
      <c r="B162" s="396"/>
      <c r="C162" s="397"/>
      <c r="D162" s="398"/>
      <c r="E162" s="399"/>
      <c r="F162" s="400"/>
      <c r="G162" s="444"/>
      <c r="H162" s="396"/>
      <c r="I162" s="15"/>
    </row>
    <row r="163" spans="1:9" ht="12.75" customHeight="1">
      <c r="A163" s="395"/>
      <c r="B163" s="396"/>
      <c r="C163" s="397"/>
      <c r="D163" s="398"/>
      <c r="E163" s="399"/>
      <c r="F163" s="400"/>
      <c r="G163" s="444"/>
      <c r="H163" s="396"/>
      <c r="I163" s="15"/>
    </row>
    <row r="164" spans="1:9" ht="12.75" customHeight="1">
      <c r="A164" s="395"/>
      <c r="B164" s="396"/>
      <c r="C164" s="397"/>
      <c r="D164" s="398"/>
      <c r="E164" s="399"/>
      <c r="F164" s="400"/>
      <c r="G164" s="444"/>
      <c r="H164" s="396"/>
      <c r="I164" s="15"/>
    </row>
    <row r="165" spans="1:9" ht="12.75" customHeight="1">
      <c r="A165" s="395"/>
      <c r="B165" s="396"/>
      <c r="C165" s="397"/>
      <c r="D165" s="398"/>
      <c r="E165" s="399"/>
      <c r="F165" s="400"/>
      <c r="G165" s="444"/>
      <c r="H165" s="396"/>
      <c r="I165" s="15"/>
    </row>
    <row r="166" spans="1:9" ht="12.75" customHeight="1">
      <c r="A166" s="395"/>
      <c r="B166" s="396"/>
      <c r="C166" s="397"/>
      <c r="D166" s="398"/>
      <c r="E166" s="399"/>
      <c r="F166" s="400"/>
      <c r="G166" s="444"/>
      <c r="H166" s="396"/>
      <c r="I166" s="15"/>
    </row>
    <row r="167" spans="1:9" ht="12.75" customHeight="1">
      <c r="A167" s="395"/>
      <c r="B167" s="396"/>
      <c r="C167" s="397"/>
      <c r="D167" s="398"/>
      <c r="E167" s="399"/>
      <c r="F167" s="400"/>
      <c r="G167" s="444"/>
      <c r="H167" s="396"/>
      <c r="I167" s="15"/>
    </row>
    <row r="168" spans="1:9" ht="12.75" customHeight="1">
      <c r="A168" s="395"/>
      <c r="B168" s="396"/>
      <c r="C168" s="397"/>
      <c r="D168" s="398"/>
      <c r="E168" s="399"/>
      <c r="F168" s="400"/>
      <c r="G168" s="444"/>
      <c r="H168" s="396"/>
      <c r="I168" s="15"/>
    </row>
    <row r="169" spans="1:9" ht="12.75" customHeight="1">
      <c r="A169" s="395"/>
      <c r="B169" s="396"/>
      <c r="C169" s="397"/>
      <c r="D169" s="398"/>
      <c r="E169" s="399"/>
      <c r="F169" s="400"/>
      <c r="G169" s="444"/>
      <c r="H169" s="396"/>
      <c r="I169" s="15"/>
    </row>
    <row r="170" spans="1:9" ht="12.75" customHeight="1">
      <c r="A170" s="395"/>
      <c r="B170" s="396"/>
      <c r="C170" s="397"/>
      <c r="D170" s="398"/>
      <c r="E170" s="399"/>
      <c r="F170" s="400"/>
      <c r="G170" s="444"/>
      <c r="H170" s="396"/>
      <c r="I170" s="15"/>
    </row>
    <row r="171" spans="1:9" ht="12.75" customHeight="1">
      <c r="A171" s="395"/>
      <c r="B171" s="396"/>
      <c r="C171" s="397"/>
      <c r="D171" s="398"/>
      <c r="E171" s="399"/>
      <c r="F171" s="400"/>
      <c r="G171" s="444"/>
      <c r="H171" s="396"/>
      <c r="I171" s="15"/>
    </row>
    <row r="172" spans="1:9" ht="12.75" customHeight="1">
      <c r="A172" s="395"/>
      <c r="B172" s="396"/>
      <c r="C172" s="397"/>
      <c r="D172" s="398"/>
      <c r="E172" s="399"/>
      <c r="F172" s="400"/>
      <c r="G172" s="444"/>
      <c r="H172" s="396"/>
      <c r="I172" s="15"/>
    </row>
    <row r="173" spans="1:9" ht="12.75" customHeight="1">
      <c r="A173" s="395"/>
      <c r="B173" s="396"/>
      <c r="C173" s="397"/>
      <c r="D173" s="398"/>
      <c r="E173" s="399"/>
      <c r="F173" s="400"/>
      <c r="G173" s="444"/>
      <c r="H173" s="396"/>
      <c r="I173" s="15"/>
    </row>
    <row r="174" spans="1:9" ht="12.75" customHeight="1">
      <c r="A174" s="395"/>
      <c r="B174" s="396"/>
      <c r="C174" s="397"/>
      <c r="D174" s="398"/>
      <c r="E174" s="399"/>
      <c r="F174" s="400"/>
      <c r="G174" s="444"/>
      <c r="H174" s="396"/>
      <c r="I174" s="15"/>
    </row>
    <row r="175" spans="1:9" ht="12.75" customHeight="1">
      <c r="A175" s="395"/>
      <c r="B175" s="396"/>
      <c r="C175" s="397"/>
      <c r="D175" s="398"/>
      <c r="E175" s="399"/>
      <c r="F175" s="400"/>
      <c r="G175" s="444"/>
      <c r="H175" s="396"/>
      <c r="I175" s="15"/>
    </row>
    <row r="176" spans="1:9" ht="12.75" customHeight="1">
      <c r="A176" s="395"/>
      <c r="B176" s="396"/>
      <c r="C176" s="397"/>
      <c r="D176" s="398"/>
      <c r="E176" s="399"/>
      <c r="F176" s="400"/>
      <c r="G176" s="444"/>
      <c r="H176" s="396"/>
      <c r="I176" s="15"/>
    </row>
    <row r="177" spans="1:9" ht="12.75" customHeight="1">
      <c r="A177" s="395"/>
      <c r="B177" s="396"/>
      <c r="C177" s="397"/>
      <c r="D177" s="398"/>
      <c r="E177" s="399"/>
      <c r="F177" s="400"/>
      <c r="G177" s="444"/>
      <c r="H177" s="396"/>
      <c r="I177" s="15"/>
    </row>
    <row r="178" spans="1:9" ht="12.75" customHeight="1">
      <c r="A178" s="395"/>
      <c r="B178" s="396"/>
      <c r="C178" s="397"/>
      <c r="D178" s="398"/>
      <c r="E178" s="399"/>
      <c r="F178" s="400"/>
      <c r="G178" s="444"/>
      <c r="H178" s="396"/>
      <c r="I178" s="15"/>
    </row>
    <row r="179" spans="1:9" ht="12.75" customHeight="1">
      <c r="A179" s="395"/>
      <c r="B179" s="396"/>
      <c r="C179" s="397"/>
      <c r="D179" s="398"/>
      <c r="E179" s="399"/>
      <c r="F179" s="400"/>
      <c r="G179" s="444"/>
      <c r="H179" s="396"/>
      <c r="I179" s="15"/>
    </row>
    <row r="180" spans="1:9" ht="12.75" customHeight="1">
      <c r="A180" s="395"/>
      <c r="B180" s="396"/>
      <c r="C180" s="397"/>
      <c r="D180" s="398"/>
      <c r="E180" s="399"/>
      <c r="F180" s="400"/>
      <c r="G180" s="444"/>
      <c r="H180" s="396"/>
      <c r="I180" s="15"/>
    </row>
    <row r="181" spans="1:9" ht="12.75" customHeight="1">
      <c r="A181" s="395"/>
      <c r="B181" s="396"/>
      <c r="C181" s="397"/>
      <c r="D181" s="398"/>
      <c r="E181" s="399"/>
      <c r="F181" s="400"/>
      <c r="G181" s="444"/>
      <c r="H181" s="396"/>
      <c r="I181" s="15"/>
    </row>
    <row r="182" spans="1:9" ht="12.75" customHeight="1">
      <c r="A182" s="395"/>
      <c r="B182" s="396"/>
      <c r="C182" s="397"/>
      <c r="D182" s="398"/>
      <c r="E182" s="399"/>
      <c r="F182" s="400"/>
      <c r="G182" s="444"/>
      <c r="H182" s="396"/>
      <c r="I182" s="15"/>
    </row>
    <row r="183" spans="1:9" ht="12.75" customHeight="1">
      <c r="A183" s="395"/>
      <c r="B183" s="396"/>
      <c r="C183" s="397"/>
      <c r="D183" s="398"/>
      <c r="E183" s="399"/>
      <c r="F183" s="400"/>
      <c r="G183" s="444"/>
      <c r="H183" s="396"/>
      <c r="I183" s="15"/>
    </row>
    <row r="184" spans="1:9" ht="12.75" customHeight="1">
      <c r="A184" s="395"/>
      <c r="B184" s="396"/>
      <c r="C184" s="397"/>
      <c r="D184" s="398"/>
      <c r="E184" s="399"/>
      <c r="F184" s="400"/>
      <c r="G184" s="444"/>
      <c r="H184" s="396"/>
      <c r="I184" s="15"/>
    </row>
    <row r="185" spans="1:9" ht="12.75" customHeight="1">
      <c r="A185" s="395"/>
      <c r="B185" s="396"/>
      <c r="C185" s="397"/>
      <c r="D185" s="398"/>
      <c r="E185" s="399"/>
      <c r="F185" s="400"/>
      <c r="G185" s="444"/>
      <c r="H185" s="396"/>
      <c r="I185" s="15"/>
    </row>
    <row r="186" spans="1:9" ht="12.75" customHeight="1">
      <c r="A186" s="395"/>
      <c r="B186" s="396"/>
      <c r="C186" s="397"/>
      <c r="D186" s="398"/>
      <c r="E186" s="399"/>
      <c r="F186" s="400"/>
      <c r="G186" s="444"/>
      <c r="H186" s="396"/>
      <c r="I186" s="15"/>
    </row>
    <row r="187" spans="1:9" ht="12.75" customHeight="1">
      <c r="A187" s="395"/>
      <c r="B187" s="396"/>
      <c r="C187" s="397"/>
      <c r="D187" s="398"/>
      <c r="E187" s="397"/>
      <c r="F187" s="400"/>
      <c r="G187" s="444"/>
      <c r="H187" s="396"/>
      <c r="I187" s="15"/>
    </row>
    <row r="188" spans="1:9" ht="12.75" customHeight="1">
      <c r="A188" s="395"/>
      <c r="B188" s="406"/>
      <c r="C188" s="397"/>
      <c r="D188" s="398"/>
      <c r="E188" s="399"/>
      <c r="F188" s="400"/>
      <c r="G188" s="444"/>
      <c r="H188" s="396"/>
      <c r="I188" s="15"/>
    </row>
    <row r="189" spans="1:9" ht="12.75" customHeight="1">
      <c r="A189" s="395"/>
      <c r="B189" s="406"/>
      <c r="C189" s="407"/>
      <c r="D189" s="408"/>
      <c r="E189" s="409"/>
      <c r="F189" s="394"/>
      <c r="G189" s="444"/>
      <c r="H189" s="396"/>
      <c r="I189" s="15"/>
    </row>
    <row r="190" spans="1:9" ht="12.75" customHeight="1">
      <c r="A190" s="395"/>
      <c r="B190" s="406"/>
      <c r="C190" s="407"/>
      <c r="D190" s="408"/>
      <c r="E190" s="409"/>
      <c r="F190" s="394"/>
      <c r="G190" s="444"/>
      <c r="H190" s="396"/>
      <c r="I190" s="15"/>
    </row>
    <row r="191" spans="1:9" ht="12.75" customHeight="1">
      <c r="A191" s="405"/>
      <c r="B191" s="406"/>
      <c r="C191" s="407"/>
      <c r="D191" s="408"/>
      <c r="E191" s="409"/>
      <c r="F191" s="394"/>
      <c r="G191" s="444"/>
      <c r="H191" s="396"/>
      <c r="I191" s="15"/>
    </row>
    <row r="192" spans="1:9" ht="12.75" customHeight="1">
      <c r="A192" s="405"/>
      <c r="B192" s="406"/>
      <c r="C192" s="407"/>
      <c r="D192" s="408"/>
      <c r="E192" s="409"/>
      <c r="F192" s="394"/>
      <c r="G192" s="444"/>
      <c r="H192" s="396"/>
      <c r="I192" s="15"/>
    </row>
    <row r="193" spans="1:9" ht="12.75" customHeight="1">
      <c r="A193" s="395"/>
      <c r="B193" s="396"/>
      <c r="C193" s="397"/>
      <c r="D193" s="398"/>
      <c r="E193" s="399"/>
      <c r="F193" s="400"/>
      <c r="G193" s="444"/>
      <c r="H193" s="396"/>
      <c r="I193" s="15"/>
    </row>
    <row r="194" spans="1:9" ht="12.75" customHeight="1">
      <c r="A194" s="395"/>
      <c r="B194" s="396"/>
      <c r="C194" s="397"/>
      <c r="D194" s="398"/>
      <c r="E194" s="399"/>
      <c r="F194" s="400"/>
      <c r="G194" s="444"/>
      <c r="H194" s="396"/>
      <c r="I194" s="15"/>
    </row>
    <row r="195" spans="1:9" ht="12.75" customHeight="1">
      <c r="A195" s="395"/>
      <c r="B195" s="406"/>
      <c r="C195" s="397"/>
      <c r="D195" s="398"/>
      <c r="E195" s="409"/>
      <c r="F195" s="394"/>
      <c r="G195" s="444"/>
      <c r="H195" s="396"/>
      <c r="I195" s="15"/>
    </row>
    <row r="196" spans="1:9" ht="12.75" customHeight="1">
      <c r="A196" s="395"/>
      <c r="B196" s="406"/>
      <c r="C196" s="407"/>
      <c r="D196" s="408"/>
      <c r="E196" s="409"/>
      <c r="F196" s="394"/>
      <c r="G196" s="444"/>
      <c r="H196" s="396"/>
      <c r="I196" s="15"/>
    </row>
    <row r="197" spans="1:9" ht="12.75" customHeight="1">
      <c r="A197" s="405"/>
      <c r="B197" s="396"/>
      <c r="C197" s="401"/>
      <c r="D197" s="402"/>
      <c r="E197" s="403"/>
      <c r="F197" s="404"/>
      <c r="G197" s="444"/>
      <c r="H197" s="396"/>
      <c r="I197" s="15"/>
    </row>
    <row r="198" spans="1:9" ht="12.75" customHeight="1">
      <c r="A198" s="405"/>
      <c r="B198" s="406"/>
      <c r="C198" s="407"/>
      <c r="D198" s="408"/>
      <c r="E198" s="409"/>
      <c r="F198" s="394"/>
      <c r="G198" s="444"/>
      <c r="H198" s="396"/>
      <c r="I198" s="15"/>
    </row>
    <row r="199" spans="1:9" ht="12.75" customHeight="1">
      <c r="A199" s="395"/>
      <c r="B199" s="406"/>
      <c r="C199" s="397"/>
      <c r="D199" s="398"/>
      <c r="E199" s="399"/>
      <c r="F199" s="400"/>
      <c r="G199" s="444"/>
      <c r="H199" s="399"/>
      <c r="I199" s="15"/>
    </row>
    <row r="200" spans="1:9" ht="12.75" customHeight="1">
      <c r="A200" s="395"/>
      <c r="B200" s="441"/>
      <c r="C200" s="399"/>
      <c r="D200" s="400"/>
      <c r="E200" s="403"/>
      <c r="F200" s="404"/>
      <c r="G200" s="414"/>
      <c r="H200" s="399"/>
      <c r="I200" s="15"/>
    </row>
    <row r="201" spans="1:9" ht="12.75" customHeight="1">
      <c r="A201" s="395"/>
      <c r="B201" s="441"/>
      <c r="C201" s="409"/>
      <c r="D201" s="394"/>
      <c r="E201" s="409"/>
      <c r="F201" s="394"/>
      <c r="G201" s="414"/>
      <c r="H201" s="399"/>
      <c r="I201" s="15"/>
    </row>
    <row r="202" spans="1:9" ht="12.75" customHeight="1">
      <c r="A202" s="405"/>
      <c r="B202" s="441"/>
      <c r="C202" s="409"/>
      <c r="D202" s="394"/>
      <c r="E202" s="451"/>
      <c r="F202" s="425"/>
      <c r="G202" s="396"/>
      <c r="H202" s="414"/>
      <c r="I202" s="15"/>
    </row>
    <row r="203" spans="1:9" ht="12.75" customHeight="1">
      <c r="A203" s="405"/>
      <c r="B203" s="441"/>
      <c r="C203" s="409"/>
      <c r="D203" s="394"/>
      <c r="E203" s="424"/>
      <c r="F203" s="425"/>
      <c r="G203" s="414"/>
      <c r="H203" s="399"/>
      <c r="I203" s="15"/>
    </row>
    <row r="204" spans="1:9" ht="12.75" customHeight="1">
      <c r="A204" s="454"/>
      <c r="B204" s="481"/>
      <c r="C204" s="482"/>
      <c r="D204" s="483"/>
      <c r="E204" s="484"/>
      <c r="F204" s="485"/>
      <c r="G204" s="445"/>
      <c r="H204" s="442"/>
      <c r="I204" s="15"/>
    </row>
    <row r="205" spans="1:9" ht="12.75" customHeight="1">
      <c r="A205" s="454"/>
      <c r="B205" s="443"/>
      <c r="C205" s="482"/>
      <c r="D205" s="483"/>
      <c r="E205" s="452"/>
      <c r="F205" s="453"/>
      <c r="G205" s="446"/>
      <c r="H205" s="447"/>
      <c r="I205" s="15"/>
    </row>
    <row r="206" spans="1:9" ht="12.75" customHeight="1">
      <c r="A206" s="395"/>
      <c r="B206" s="442"/>
      <c r="C206" s="403"/>
      <c r="D206" s="404"/>
      <c r="E206" s="486"/>
      <c r="F206" s="471"/>
      <c r="G206" s="56"/>
      <c r="H206" s="448"/>
      <c r="I206" s="15"/>
    </row>
    <row r="207" spans="1:9" ht="12.75" customHeight="1">
      <c r="A207" s="434"/>
      <c r="B207" s="455"/>
      <c r="C207" s="456"/>
      <c r="D207" s="457"/>
      <c r="E207" s="455"/>
      <c r="F207" s="487"/>
      <c r="G207" s="457"/>
      <c r="H207" s="458"/>
      <c r="I207" s="15"/>
    </row>
    <row r="208" spans="1:9" ht="12.75" customHeight="1">
      <c r="A208" s="434"/>
      <c r="B208" s="462"/>
      <c r="C208" s="492"/>
      <c r="D208" s="460"/>
      <c r="E208" s="493"/>
      <c r="F208" s="461"/>
      <c r="G208" s="449"/>
      <c r="H208" s="450"/>
      <c r="I208" s="15"/>
    </row>
    <row r="209" spans="1:9" ht="12.75" customHeight="1">
      <c r="A209" s="395"/>
      <c r="B209" s="494"/>
      <c r="C209" s="473"/>
      <c r="D209" s="495"/>
      <c r="E209" s="494"/>
      <c r="F209" s="473"/>
      <c r="G209" s="496"/>
      <c r="H209" s="497"/>
      <c r="I209" s="15"/>
    </row>
    <row r="210" spans="1:9" ht="12.75" customHeight="1">
      <c r="A210" s="395"/>
      <c r="B210" s="488"/>
      <c r="C210" s="489"/>
      <c r="D210" s="490"/>
      <c r="E210" s="419"/>
      <c r="F210" s="415"/>
      <c r="G210" s="444"/>
      <c r="H210" s="491"/>
      <c r="I210" s="15"/>
    </row>
    <row r="211" spans="1:9" ht="12.75" customHeight="1">
      <c r="A211" s="395"/>
      <c r="B211" s="406"/>
      <c r="C211" s="463"/>
      <c r="D211" s="408"/>
      <c r="E211" s="409"/>
      <c r="F211" s="424"/>
      <c r="G211" s="459"/>
      <c r="H211" s="472"/>
      <c r="I211" s="15"/>
    </row>
    <row r="212" spans="1:9" ht="12.75" customHeight="1">
      <c r="A212" s="395"/>
      <c r="B212" s="406"/>
      <c r="C212" s="463"/>
      <c r="D212" s="408"/>
      <c r="E212" s="409"/>
      <c r="F212" s="424"/>
      <c r="G212" s="459"/>
      <c r="H212" s="472"/>
      <c r="I212" s="15"/>
    </row>
    <row r="213" spans="1:9" ht="12.75" customHeight="1">
      <c r="A213" s="395"/>
      <c r="B213" s="396"/>
      <c r="C213" s="397"/>
      <c r="D213" s="398"/>
      <c r="E213" s="399"/>
      <c r="F213" s="400"/>
      <c r="G213" s="382"/>
      <c r="H213" s="380"/>
      <c r="I213" s="15"/>
    </row>
    <row r="214" spans="1:9" ht="12.75" customHeight="1">
      <c r="A214" s="395"/>
      <c r="B214" s="396"/>
      <c r="C214" s="397"/>
      <c r="D214" s="398"/>
      <c r="E214" s="399"/>
      <c r="F214" s="400"/>
      <c r="G214" s="382"/>
      <c r="H214" s="380"/>
      <c r="I214" s="15"/>
    </row>
    <row r="215" spans="1:9" ht="12.75" customHeight="1">
      <c r="A215" s="395"/>
      <c r="B215" s="396"/>
      <c r="C215" s="397"/>
      <c r="D215" s="398"/>
      <c r="E215" s="399"/>
      <c r="F215" s="400"/>
      <c r="G215" s="382"/>
      <c r="H215" s="380"/>
      <c r="I215" s="15"/>
    </row>
    <row r="216" spans="1:9" ht="12.75" customHeight="1">
      <c r="A216" s="395"/>
      <c r="B216" s="396"/>
      <c r="C216" s="397"/>
      <c r="D216" s="398"/>
      <c r="E216" s="399"/>
      <c r="F216" s="400"/>
      <c r="G216" s="382"/>
      <c r="H216" s="380"/>
      <c r="I216" s="15"/>
    </row>
    <row r="217" spans="1:9" ht="12.75" customHeight="1">
      <c r="A217" s="395"/>
      <c r="B217" s="396"/>
      <c r="C217" s="397"/>
      <c r="D217" s="398"/>
      <c r="E217" s="399"/>
      <c r="F217" s="400"/>
      <c r="G217" s="382"/>
      <c r="H217" s="380"/>
      <c r="I217" s="15"/>
    </row>
    <row r="218" spans="1:9" ht="12.75" customHeight="1">
      <c r="A218" s="395"/>
      <c r="B218" s="396"/>
      <c r="C218" s="397"/>
      <c r="D218" s="398"/>
      <c r="E218" s="399"/>
      <c r="F218" s="400"/>
      <c r="G218" s="382"/>
      <c r="H218" s="380"/>
      <c r="I218" s="15"/>
    </row>
    <row r="219" spans="1:9" ht="12.75" customHeight="1">
      <c r="A219" s="395"/>
      <c r="B219" s="396"/>
      <c r="C219" s="397"/>
      <c r="D219" s="398"/>
      <c r="E219" s="399"/>
      <c r="F219" s="400"/>
      <c r="G219" s="382"/>
      <c r="H219" s="380"/>
      <c r="I219" s="15"/>
    </row>
    <row r="220" spans="1:9" ht="12.75" customHeight="1">
      <c r="A220" s="395"/>
      <c r="B220" s="396"/>
      <c r="C220" s="397"/>
      <c r="D220" s="398"/>
      <c r="E220" s="399"/>
      <c r="F220" s="400"/>
      <c r="G220" s="382"/>
      <c r="H220" s="380"/>
      <c r="I220" s="15"/>
    </row>
    <row r="221" spans="1:9" ht="12.75" customHeight="1">
      <c r="A221" s="395"/>
      <c r="B221" s="396"/>
      <c r="C221" s="397"/>
      <c r="D221" s="398"/>
      <c r="E221" s="399"/>
      <c r="F221" s="400"/>
      <c r="G221" s="382"/>
      <c r="H221" s="380"/>
      <c r="I221" s="15"/>
    </row>
    <row r="222" spans="1:9" ht="12.75" customHeight="1">
      <c r="A222" s="395"/>
      <c r="B222" s="396"/>
      <c r="C222" s="397"/>
      <c r="D222" s="398"/>
      <c r="E222" s="399"/>
      <c r="F222" s="400"/>
      <c r="G222" s="382"/>
      <c r="H222" s="380"/>
      <c r="I222" s="15"/>
    </row>
    <row r="223" spans="1:9" ht="12.75" customHeight="1">
      <c r="A223" s="395"/>
      <c r="B223" s="396"/>
      <c r="C223" s="397"/>
      <c r="D223" s="398"/>
      <c r="E223" s="399"/>
      <c r="F223" s="400"/>
      <c r="G223" s="382"/>
      <c r="H223" s="380"/>
      <c r="I223" s="15"/>
    </row>
    <row r="224" spans="1:9" ht="12.75" customHeight="1">
      <c r="A224" s="395"/>
      <c r="B224" s="396"/>
      <c r="C224" s="397"/>
      <c r="D224" s="398"/>
      <c r="E224" s="399"/>
      <c r="F224" s="400"/>
      <c r="G224" s="382"/>
      <c r="H224" s="380"/>
      <c r="I224" s="15"/>
    </row>
    <row r="225" spans="1:9" ht="12.75" customHeight="1">
      <c r="A225" s="395"/>
      <c r="B225" s="396"/>
      <c r="C225" s="397"/>
      <c r="D225" s="398"/>
      <c r="E225" s="399"/>
      <c r="F225" s="400"/>
      <c r="G225" s="382"/>
      <c r="H225" s="380"/>
      <c r="I225" s="15"/>
    </row>
    <row r="226" spans="1:9" ht="12.75" customHeight="1">
      <c r="A226" s="395"/>
      <c r="B226" s="396"/>
      <c r="C226" s="397"/>
      <c r="D226" s="398"/>
      <c r="E226" s="399"/>
      <c r="F226" s="400"/>
      <c r="G226" s="382"/>
      <c r="H226" s="380"/>
      <c r="I226" s="15"/>
    </row>
    <row r="227" spans="1:9" ht="12.75" customHeight="1">
      <c r="A227" s="395"/>
      <c r="B227" s="396"/>
      <c r="C227" s="397"/>
      <c r="D227" s="398"/>
      <c r="E227" s="399"/>
      <c r="F227" s="400"/>
      <c r="G227" s="382"/>
      <c r="H227" s="380"/>
      <c r="I227" s="15"/>
    </row>
    <row r="228" spans="1:9" ht="12.75" customHeight="1">
      <c r="A228" s="395"/>
      <c r="B228" s="396"/>
      <c r="C228" s="397"/>
      <c r="D228" s="398"/>
      <c r="E228" s="399"/>
      <c r="F228" s="400"/>
      <c r="G228" s="382"/>
      <c r="H228" s="380"/>
      <c r="I228" s="15"/>
    </row>
    <row r="229" spans="1:9" ht="12.75" customHeight="1">
      <c r="A229" s="395"/>
      <c r="B229" s="396"/>
      <c r="C229" s="397"/>
      <c r="D229" s="398"/>
      <c r="E229" s="399"/>
      <c r="F229" s="400"/>
      <c r="G229" s="382"/>
      <c r="H229" s="380"/>
      <c r="I229" s="15"/>
    </row>
    <row r="230" spans="1:9" ht="12.75" customHeight="1">
      <c r="A230" s="395"/>
      <c r="B230" s="396"/>
      <c r="C230" s="397"/>
      <c r="D230" s="398"/>
      <c r="E230" s="399"/>
      <c r="F230" s="400"/>
      <c r="G230" s="382"/>
      <c r="H230" s="380"/>
      <c r="I230" s="15"/>
    </row>
    <row r="231" spans="1:9" ht="12.75" customHeight="1">
      <c r="A231" s="395"/>
      <c r="B231" s="396"/>
      <c r="C231" s="397"/>
      <c r="D231" s="398"/>
      <c r="E231" s="399"/>
      <c r="F231" s="400"/>
      <c r="G231" s="382"/>
      <c r="H231" s="380"/>
      <c r="I231" s="15"/>
    </row>
    <row r="232" spans="1:9" ht="12.75" customHeight="1">
      <c r="A232" s="395"/>
      <c r="B232" s="396"/>
      <c r="C232" s="397"/>
      <c r="D232" s="398"/>
      <c r="E232" s="399"/>
      <c r="F232" s="400"/>
      <c r="G232" s="382"/>
      <c r="H232" s="380"/>
      <c r="I232" s="15"/>
    </row>
    <row r="233" spans="1:9" ht="12.75" customHeight="1">
      <c r="A233" s="395"/>
      <c r="B233" s="396"/>
      <c r="C233" s="397"/>
      <c r="D233" s="398"/>
      <c r="E233" s="399"/>
      <c r="F233" s="400"/>
      <c r="G233" s="382"/>
      <c r="H233" s="380"/>
      <c r="I233" s="15"/>
    </row>
    <row r="234" spans="1:9" ht="12.75" customHeight="1">
      <c r="A234" s="395"/>
      <c r="B234" s="396"/>
      <c r="C234" s="397"/>
      <c r="D234" s="398"/>
      <c r="E234" s="399"/>
      <c r="F234" s="400"/>
      <c r="G234" s="382"/>
      <c r="H234" s="380"/>
      <c r="I234" s="15"/>
    </row>
    <row r="235" spans="1:9" ht="12.75" customHeight="1">
      <c r="A235" s="395"/>
      <c r="B235" s="396"/>
      <c r="C235" s="397"/>
      <c r="D235" s="398"/>
      <c r="E235" s="399"/>
      <c r="F235" s="400"/>
      <c r="G235" s="382"/>
      <c r="H235" s="380"/>
      <c r="I235" s="15"/>
    </row>
    <row r="236" spans="1:9" ht="12.75" customHeight="1">
      <c r="A236" s="395"/>
      <c r="B236" s="396"/>
      <c r="C236" s="397"/>
      <c r="D236" s="398"/>
      <c r="E236" s="399"/>
      <c r="F236" s="400"/>
      <c r="G236" s="382"/>
      <c r="H236" s="380"/>
      <c r="I236" s="15"/>
    </row>
    <row r="237" spans="1:9" ht="12.75" customHeight="1">
      <c r="A237" s="395"/>
      <c r="B237" s="396"/>
      <c r="C237" s="397"/>
      <c r="D237" s="398"/>
      <c r="E237" s="399"/>
      <c r="F237" s="400"/>
      <c r="G237" s="382"/>
      <c r="H237" s="380"/>
      <c r="I237" s="15"/>
    </row>
    <row r="238" spans="1:9" ht="12.75" customHeight="1">
      <c r="A238" s="395"/>
      <c r="B238" s="396"/>
      <c r="C238" s="397"/>
      <c r="D238" s="398"/>
      <c r="E238" s="399"/>
      <c r="F238" s="400"/>
      <c r="G238" s="382"/>
      <c r="H238" s="380"/>
      <c r="I238" s="15"/>
    </row>
    <row r="239" spans="1:9" ht="12.75" customHeight="1">
      <c r="A239" s="395"/>
      <c r="B239" s="396"/>
      <c r="C239" s="397"/>
      <c r="D239" s="398"/>
      <c r="E239" s="399"/>
      <c r="F239" s="400"/>
      <c r="G239" s="382"/>
      <c r="H239" s="380"/>
      <c r="I239" s="15"/>
    </row>
    <row r="240" spans="1:9" ht="12.75" customHeight="1">
      <c r="A240" s="395"/>
      <c r="B240" s="396"/>
      <c r="C240" s="397"/>
      <c r="D240" s="398"/>
      <c r="E240" s="399"/>
      <c r="F240" s="400"/>
      <c r="G240" s="382"/>
      <c r="H240" s="380"/>
      <c r="I240" s="15"/>
    </row>
    <row r="241" spans="1:9" ht="12.75" customHeight="1">
      <c r="A241" s="395"/>
      <c r="B241" s="396"/>
      <c r="C241" s="397"/>
      <c r="D241" s="398"/>
      <c r="E241" s="399"/>
      <c r="F241" s="400"/>
      <c r="G241" s="382"/>
      <c r="H241" s="380"/>
      <c r="I241" s="15"/>
    </row>
    <row r="242" spans="1:9" ht="12.75" customHeight="1">
      <c r="A242" s="395"/>
      <c r="B242" s="396"/>
      <c r="C242" s="397"/>
      <c r="D242" s="398"/>
      <c r="E242" s="399"/>
      <c r="F242" s="400"/>
      <c r="G242" s="382"/>
      <c r="H242" s="380"/>
      <c r="I242" s="15"/>
    </row>
    <row r="243" spans="1:9" ht="12.75" customHeight="1">
      <c r="A243" s="395"/>
      <c r="B243" s="396"/>
      <c r="C243" s="397"/>
      <c r="D243" s="398"/>
      <c r="E243" s="399"/>
      <c r="F243" s="400"/>
      <c r="G243" s="382"/>
      <c r="H243" s="380"/>
      <c r="I243" s="15"/>
    </row>
    <row r="244" spans="1:9" ht="12.75" customHeight="1">
      <c r="A244" s="395"/>
      <c r="B244" s="396"/>
      <c r="C244" s="397"/>
      <c r="D244" s="398"/>
      <c r="E244" s="399"/>
      <c r="F244" s="400"/>
      <c r="G244" s="382"/>
      <c r="H244" s="380"/>
      <c r="I244" s="15"/>
    </row>
    <row r="245" spans="1:9" ht="12.75" customHeight="1">
      <c r="A245" s="395"/>
      <c r="B245" s="396"/>
      <c r="C245" s="397"/>
      <c r="D245" s="398"/>
      <c r="E245" s="399"/>
      <c r="F245" s="400"/>
      <c r="G245" s="382"/>
      <c r="H245" s="380"/>
      <c r="I245" s="15"/>
    </row>
    <row r="246" spans="1:9" ht="12.75" customHeight="1">
      <c r="A246" s="395"/>
      <c r="B246" s="396"/>
      <c r="C246" s="397"/>
      <c r="D246" s="398"/>
      <c r="E246" s="399"/>
      <c r="F246" s="400"/>
      <c r="G246" s="382"/>
      <c r="H246" s="380"/>
      <c r="I246" s="15"/>
    </row>
    <row r="247" spans="1:9" ht="12.75" customHeight="1">
      <c r="A247" s="395"/>
      <c r="B247" s="396"/>
      <c r="C247" s="397"/>
      <c r="D247" s="398"/>
      <c r="E247" s="399"/>
      <c r="F247" s="400"/>
      <c r="G247" s="382"/>
      <c r="H247" s="380"/>
      <c r="I247" s="15"/>
    </row>
    <row r="248" spans="1:9" ht="12.75" customHeight="1">
      <c r="A248" s="395"/>
      <c r="B248" s="396"/>
      <c r="C248" s="397"/>
      <c r="D248" s="398"/>
      <c r="E248" s="399"/>
      <c r="F248" s="400"/>
      <c r="G248" s="382"/>
      <c r="H248" s="380"/>
      <c r="I248" s="15"/>
    </row>
    <row r="249" spans="1:9" ht="12.75" customHeight="1">
      <c r="A249" s="395"/>
      <c r="B249" s="396"/>
      <c r="C249" s="401"/>
      <c r="D249" s="402"/>
      <c r="E249" s="403"/>
      <c r="F249" s="404"/>
      <c r="G249" s="382"/>
      <c r="H249" s="380"/>
      <c r="I249" s="15"/>
    </row>
    <row r="250" spans="1:9" ht="12.75" customHeight="1">
      <c r="A250" s="395"/>
      <c r="B250" s="396"/>
      <c r="C250" s="401"/>
      <c r="D250" s="402"/>
      <c r="E250" s="401"/>
      <c r="F250" s="404"/>
      <c r="G250" s="382"/>
      <c r="H250" s="380"/>
      <c r="I250" s="15"/>
    </row>
    <row r="251" spans="1:9" ht="12.75" customHeight="1">
      <c r="A251" s="405"/>
      <c r="B251" s="406"/>
      <c r="C251" s="407"/>
      <c r="D251" s="408"/>
      <c r="E251" s="409"/>
      <c r="F251" s="394"/>
      <c r="G251" s="382"/>
      <c r="H251" s="380"/>
      <c r="I251" s="15"/>
    </row>
    <row r="252" spans="1:9" ht="12.75" customHeight="1">
      <c r="A252" s="395"/>
      <c r="B252" s="396"/>
      <c r="C252" s="397"/>
      <c r="D252" s="398"/>
      <c r="E252" s="399"/>
      <c r="F252" s="400"/>
      <c r="G252" s="382"/>
      <c r="H252" s="380"/>
      <c r="I252" s="15"/>
    </row>
    <row r="253" spans="1:9" ht="12.75" customHeight="1">
      <c r="A253" s="395"/>
      <c r="B253" s="396"/>
      <c r="C253" s="397"/>
      <c r="D253" s="398"/>
      <c r="E253" s="399"/>
      <c r="F253" s="400"/>
      <c r="G253" s="382"/>
      <c r="H253" s="380"/>
      <c r="I253" s="15"/>
    </row>
    <row r="254" spans="1:9" ht="12.75" customHeight="1">
      <c r="A254" s="395"/>
      <c r="B254" s="396"/>
      <c r="C254" s="397"/>
      <c r="D254" s="398"/>
      <c r="E254" s="403"/>
      <c r="F254" s="404"/>
      <c r="G254" s="382"/>
      <c r="H254" s="380"/>
      <c r="I254" s="15"/>
    </row>
    <row r="255" spans="1:9" ht="12.75" customHeight="1">
      <c r="A255" s="395"/>
      <c r="B255" s="396"/>
      <c r="C255" s="401"/>
      <c r="D255" s="402"/>
      <c r="E255" s="403"/>
      <c r="F255" s="404"/>
      <c r="G255" s="382"/>
      <c r="H255" s="380"/>
      <c r="I255" s="15"/>
    </row>
    <row r="256" spans="1:9" ht="12.75" customHeight="1">
      <c r="A256" s="395"/>
      <c r="B256" s="396"/>
      <c r="C256" s="401"/>
      <c r="D256" s="402"/>
      <c r="E256" s="403"/>
      <c r="F256" s="404"/>
      <c r="G256" s="382"/>
      <c r="H256" s="380"/>
      <c r="I256" s="15"/>
    </row>
    <row r="257" spans="1:9" ht="12.75" customHeight="1">
      <c r="A257" s="395"/>
      <c r="B257" s="396"/>
      <c r="C257" s="407"/>
      <c r="D257" s="408"/>
      <c r="E257" s="409"/>
      <c r="F257" s="394"/>
      <c r="G257" s="382"/>
      <c r="H257" s="380"/>
      <c r="I257" s="15"/>
    </row>
    <row r="258" spans="1:9" ht="12.75" customHeight="1">
      <c r="A258" s="395"/>
      <c r="B258" s="396"/>
      <c r="C258" s="397"/>
      <c r="D258" s="398"/>
      <c r="E258" s="399"/>
      <c r="F258" s="400"/>
      <c r="G258" s="382"/>
      <c r="H258" s="380"/>
      <c r="I258" s="15"/>
    </row>
    <row r="259" spans="1:9" ht="12.75" customHeight="1">
      <c r="A259" s="395"/>
      <c r="B259" s="396"/>
      <c r="C259" s="397"/>
      <c r="D259" s="398"/>
      <c r="E259" s="403"/>
      <c r="F259" s="404"/>
      <c r="G259" s="382"/>
      <c r="H259" s="380"/>
      <c r="I259" s="15"/>
    </row>
    <row r="260" spans="1:9" ht="12.75" customHeight="1">
      <c r="A260" s="395"/>
      <c r="B260" s="396"/>
      <c r="C260" s="401"/>
      <c r="D260" s="402"/>
      <c r="E260" s="403"/>
      <c r="F260" s="404"/>
      <c r="G260" s="382"/>
      <c r="H260" s="380"/>
      <c r="I260" s="15"/>
    </row>
    <row r="261" spans="1:9" ht="12.75" customHeight="1">
      <c r="A261" s="395"/>
      <c r="B261" s="396"/>
      <c r="C261" s="401"/>
      <c r="D261" s="402"/>
      <c r="E261" s="410"/>
      <c r="F261" s="411"/>
      <c r="G261" s="382"/>
      <c r="H261" s="380"/>
      <c r="I261" s="15"/>
    </row>
    <row r="262" spans="1:9" ht="12.75" customHeight="1">
      <c r="A262" s="405"/>
      <c r="B262" s="406"/>
      <c r="C262" s="407"/>
      <c r="D262" s="408"/>
      <c r="E262" s="409"/>
      <c r="F262" s="394"/>
      <c r="G262" s="412"/>
      <c r="H262" s="413"/>
      <c r="I262" s="15"/>
    </row>
    <row r="263" spans="1:9" ht="12.75" customHeight="1">
      <c r="A263" s="395"/>
      <c r="B263" s="414"/>
      <c r="C263" s="399"/>
      <c r="D263" s="400"/>
      <c r="E263" s="415"/>
      <c r="F263" s="416"/>
      <c r="G263" s="417"/>
      <c r="H263" s="413"/>
      <c r="I263" s="15"/>
    </row>
    <row r="264" spans="1:9" ht="12.75" customHeight="1">
      <c r="A264" s="395"/>
      <c r="B264" s="414"/>
      <c r="C264" s="399"/>
      <c r="D264" s="400"/>
      <c r="E264" s="410"/>
      <c r="F264" s="411"/>
      <c r="G264" s="417"/>
      <c r="H264" s="413"/>
      <c r="I264" s="15"/>
    </row>
    <row r="265" spans="1:9" ht="12.75" customHeight="1">
      <c r="A265" s="395"/>
      <c r="B265" s="414"/>
      <c r="C265" s="403"/>
      <c r="D265" s="404"/>
      <c r="E265" s="418"/>
      <c r="F265" s="404"/>
      <c r="G265" s="41"/>
      <c r="H265" s="414"/>
      <c r="I265" s="15"/>
    </row>
    <row r="266" spans="1:9" ht="12.75" customHeight="1">
      <c r="A266" s="395"/>
      <c r="B266" s="414"/>
      <c r="C266" s="403"/>
      <c r="D266" s="404"/>
      <c r="E266" s="410"/>
      <c r="F266" s="404"/>
      <c r="G266" s="417"/>
      <c r="H266" s="413"/>
      <c r="I266" s="15"/>
    </row>
    <row r="267" spans="1:9" ht="12.75" customHeight="1">
      <c r="A267" s="395"/>
      <c r="B267" s="419"/>
      <c r="C267" s="410"/>
      <c r="D267" s="416"/>
      <c r="E267" s="420"/>
      <c r="F267" s="415"/>
      <c r="G267" s="421"/>
      <c r="H267" s="422"/>
      <c r="I267" s="15"/>
    </row>
    <row r="268" spans="1:9" ht="12.75" customHeight="1">
      <c r="A268" s="405"/>
      <c r="B268" s="423"/>
      <c r="C268" s="424"/>
      <c r="D268" s="425"/>
      <c r="E268" s="423"/>
      <c r="F268" s="424"/>
      <c r="G268" s="426"/>
      <c r="H268" s="427"/>
      <c r="I268" s="15"/>
    </row>
    <row r="269" spans="1:9" ht="12.75" customHeight="1">
      <c r="A269" s="389"/>
      <c r="B269" s="428"/>
      <c r="C269" s="429"/>
      <c r="D269" s="416"/>
      <c r="E269" s="430"/>
      <c r="F269" s="431"/>
      <c r="G269" s="432"/>
      <c r="H269" s="433"/>
      <c r="I269" s="434"/>
    </row>
    <row r="270" spans="1:9" ht="12.75" customHeight="1">
      <c r="A270" s="435"/>
      <c r="B270" s="436"/>
      <c r="C270" s="437"/>
      <c r="D270" s="438"/>
      <c r="E270" s="437"/>
      <c r="F270" s="438"/>
      <c r="G270" s="438"/>
      <c r="H270" s="439"/>
      <c r="I270" s="440"/>
    </row>
    <row r="271" spans="1:9" ht="12.75" customHeight="1">
      <c r="A271" s="435"/>
      <c r="B271" s="436"/>
      <c r="C271" s="437"/>
      <c r="D271" s="438"/>
      <c r="E271" s="437"/>
      <c r="F271" s="438"/>
      <c r="G271" s="438"/>
      <c r="H271" s="439"/>
      <c r="I271" s="440"/>
    </row>
    <row r="272" ht="12.75" customHeight="1">
      <c r="I272" s="377"/>
    </row>
    <row r="273" ht="12.75" customHeight="1">
      <c r="I273" s="377"/>
    </row>
  </sheetData>
  <sheetProtection/>
  <mergeCells count="1">
    <mergeCell ref="C7:D7"/>
  </mergeCells>
  <printOptions/>
  <pageMargins left="0.67" right="0.2" top="0.25" bottom="0.25" header="0.34" footer="0.3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04"/>
  <sheetViews>
    <sheetView showGridLines="0" zoomScalePageLayoutView="0" workbookViewId="0" topLeftCell="A58">
      <selection activeCell="A1" sqref="A1"/>
    </sheetView>
  </sheetViews>
  <sheetFormatPr defaultColWidth="9.140625" defaultRowHeight="12.75" customHeight="1"/>
  <cols>
    <col min="1" max="1" width="26.7109375" style="4" customWidth="1"/>
    <col min="2" max="2" width="7.57421875" style="4" customWidth="1"/>
    <col min="3" max="3" width="12.57421875" style="6" customWidth="1"/>
    <col min="4" max="4" width="12.7109375" style="5" customWidth="1"/>
    <col min="5" max="5" width="15.00390625" style="6" customWidth="1"/>
    <col min="6" max="6" width="14.421875" style="5" customWidth="1"/>
    <col min="7" max="7" width="9.8515625" style="5" customWidth="1"/>
    <col min="8" max="8" width="9.57421875" style="5" customWidth="1"/>
    <col min="9" max="9" width="9.28125" style="3" customWidth="1"/>
    <col min="10" max="10" width="21.28125" style="378" bestFit="1" customWidth="1"/>
    <col min="11" max="16384" width="9.140625" style="378" customWidth="1"/>
  </cols>
  <sheetData>
    <row r="1" spans="1:9" ht="12.75" customHeight="1">
      <c r="A1" s="380"/>
      <c r="B1" s="380"/>
      <c r="C1" s="381" t="s">
        <v>3</v>
      </c>
      <c r="D1" s="382"/>
      <c r="E1" s="383"/>
      <c r="F1" s="384"/>
      <c r="G1" s="382"/>
      <c r="H1" s="380"/>
      <c r="I1" s="15"/>
    </row>
    <row r="2" spans="1:9" ht="12.75" customHeight="1">
      <c r="A2" s="380"/>
      <c r="B2" s="380"/>
      <c r="C2" s="381" t="s">
        <v>4</v>
      </c>
      <c r="D2" s="385"/>
      <c r="E2" s="381"/>
      <c r="F2" s="384"/>
      <c r="G2" s="382"/>
      <c r="H2" s="380"/>
      <c r="I2" s="15"/>
    </row>
    <row r="3" spans="1:9" ht="12.75" customHeight="1">
      <c r="A3" s="380"/>
      <c r="B3" s="380"/>
      <c r="C3" s="381" t="s">
        <v>33</v>
      </c>
      <c r="D3" s="385"/>
      <c r="E3" s="381"/>
      <c r="F3" s="384"/>
      <c r="G3" s="382"/>
      <c r="H3" s="380"/>
      <c r="I3" s="15"/>
    </row>
    <row r="4" spans="1:9" ht="12.75" customHeight="1">
      <c r="A4" s="386"/>
      <c r="B4" s="380"/>
      <c r="C4" s="381" t="s">
        <v>31</v>
      </c>
      <c r="D4" s="385"/>
      <c r="E4" s="381"/>
      <c r="F4" s="384"/>
      <c r="G4" s="387"/>
      <c r="H4" s="380"/>
      <c r="I4" s="15"/>
    </row>
    <row r="5" spans="1:9" ht="12.75" customHeight="1">
      <c r="A5" s="380"/>
      <c r="B5" s="386"/>
      <c r="C5" s="388"/>
      <c r="D5" s="387"/>
      <c r="E5" s="383" t="s">
        <v>1458</v>
      </c>
      <c r="F5" s="384"/>
      <c r="G5" s="387"/>
      <c r="H5" s="380"/>
      <c r="I5" s="15"/>
    </row>
    <row r="6" spans="1:9" ht="12.75" customHeight="1">
      <c r="A6" s="389" t="s">
        <v>39</v>
      </c>
      <c r="B6" s="386"/>
      <c r="C6" s="388"/>
      <c r="D6" s="387"/>
      <c r="E6" s="388"/>
      <c r="F6" s="384"/>
      <c r="G6" s="387"/>
      <c r="H6" s="380"/>
      <c r="I6" s="15"/>
    </row>
    <row r="7" spans="1:9" ht="12.75" customHeight="1">
      <c r="A7" s="390" t="s">
        <v>312</v>
      </c>
      <c r="B7" s="390"/>
      <c r="C7" s="856" t="s">
        <v>1457</v>
      </c>
      <c r="D7" s="856"/>
      <c r="E7" s="553" t="s">
        <v>1459</v>
      </c>
      <c r="F7" s="384"/>
      <c r="G7" s="382"/>
      <c r="H7" s="380"/>
      <c r="I7" s="15"/>
    </row>
    <row r="8" spans="1:9" ht="12.75" customHeight="1">
      <c r="A8" s="392" t="s">
        <v>243</v>
      </c>
      <c r="B8" s="380"/>
      <c r="C8" s="393" t="s">
        <v>0</v>
      </c>
      <c r="D8" s="394" t="s">
        <v>1</v>
      </c>
      <c r="E8" s="393" t="s">
        <v>0</v>
      </c>
      <c r="F8" s="394" t="s">
        <v>1</v>
      </c>
      <c r="G8" s="382"/>
      <c r="H8" s="380"/>
      <c r="I8" s="15"/>
    </row>
    <row r="9" spans="1:9" ht="12.75" customHeight="1">
      <c r="A9" s="141" t="s">
        <v>1348</v>
      </c>
      <c r="B9" s="138"/>
      <c r="C9" s="142">
        <v>0</v>
      </c>
      <c r="D9" s="584">
        <v>0</v>
      </c>
      <c r="E9" s="142">
        <v>2991.7</v>
      </c>
      <c r="F9" s="585">
        <v>77.01403884079286</v>
      </c>
      <c r="G9" s="138"/>
      <c r="H9" s="586"/>
      <c r="I9" s="15"/>
    </row>
    <row r="10" spans="1:9" ht="12.75" customHeight="1">
      <c r="A10" s="141" t="s">
        <v>1207</v>
      </c>
      <c r="B10" s="138"/>
      <c r="C10" s="142">
        <v>0</v>
      </c>
      <c r="D10" s="584">
        <v>0</v>
      </c>
      <c r="E10" s="142">
        <v>30436.8</v>
      </c>
      <c r="F10" s="585">
        <v>104.30713806970509</v>
      </c>
      <c r="G10" s="138"/>
      <c r="H10" s="586"/>
      <c r="I10" s="15"/>
    </row>
    <row r="11" spans="1:9" ht="12.75" customHeight="1">
      <c r="A11" s="141" t="s">
        <v>277</v>
      </c>
      <c r="B11" s="138"/>
      <c r="C11" s="142">
        <v>1997</v>
      </c>
      <c r="D11" s="584">
        <v>70</v>
      </c>
      <c r="E11" s="142">
        <v>85350.19999999998</v>
      </c>
      <c r="F11" s="585">
        <v>122.455201042294</v>
      </c>
      <c r="G11" s="138"/>
      <c r="H11" s="586"/>
      <c r="I11" s="15"/>
    </row>
    <row r="12" spans="1:9" ht="12.75" customHeight="1">
      <c r="A12" s="141" t="s">
        <v>279</v>
      </c>
      <c r="B12" s="138"/>
      <c r="C12" s="142">
        <v>0</v>
      </c>
      <c r="D12" s="584">
        <v>0</v>
      </c>
      <c r="E12" s="142">
        <v>2991</v>
      </c>
      <c r="F12" s="585">
        <v>240.16666666666666</v>
      </c>
      <c r="G12" s="138"/>
      <c r="H12" s="586"/>
      <c r="I12" s="15"/>
    </row>
    <row r="13" spans="1:9" ht="12.75" customHeight="1">
      <c r="A13" s="141" t="s">
        <v>278</v>
      </c>
      <c r="B13" s="138"/>
      <c r="C13" s="142">
        <v>2485</v>
      </c>
      <c r="D13" s="584">
        <v>125</v>
      </c>
      <c r="E13" s="142">
        <v>134258.8</v>
      </c>
      <c r="F13" s="585">
        <v>183.70790890429535</v>
      </c>
      <c r="G13" s="138"/>
      <c r="H13" s="586"/>
      <c r="I13" s="15"/>
    </row>
    <row r="14" spans="1:9" ht="12.75" customHeight="1">
      <c r="A14" s="141" t="s">
        <v>1208</v>
      </c>
      <c r="B14" s="138"/>
      <c r="C14" s="142">
        <v>0</v>
      </c>
      <c r="D14" s="584">
        <v>0</v>
      </c>
      <c r="E14" s="142">
        <v>46856</v>
      </c>
      <c r="F14" s="585">
        <v>186.39189858289228</v>
      </c>
      <c r="G14" s="138"/>
      <c r="H14" s="586"/>
      <c r="I14" s="15"/>
    </row>
    <row r="15" spans="1:9" ht="12.75" customHeight="1">
      <c r="A15" s="141" t="s">
        <v>280</v>
      </c>
      <c r="B15" s="138"/>
      <c r="C15" s="142">
        <v>7478.9</v>
      </c>
      <c r="D15" s="584">
        <v>99.40104828250145</v>
      </c>
      <c r="E15" s="142">
        <v>314524.3000000001</v>
      </c>
      <c r="F15" s="585">
        <v>157.28482536961369</v>
      </c>
      <c r="G15" s="138"/>
      <c r="H15" s="586"/>
      <c r="I15" s="15"/>
    </row>
    <row r="16" spans="1:9" ht="12.75" customHeight="1">
      <c r="A16" s="141" t="s">
        <v>281</v>
      </c>
      <c r="B16" s="138"/>
      <c r="C16" s="142">
        <v>4491</v>
      </c>
      <c r="D16" s="584">
        <v>70</v>
      </c>
      <c r="E16" s="142">
        <v>108539.89999999998</v>
      </c>
      <c r="F16" s="585">
        <v>112.63542439232027</v>
      </c>
      <c r="G16" s="138"/>
      <c r="H16" s="586"/>
      <c r="I16" s="15"/>
    </row>
    <row r="17" spans="1:9" ht="12.75" customHeight="1">
      <c r="A17" s="141" t="s">
        <v>1209</v>
      </c>
      <c r="B17" s="138"/>
      <c r="C17" s="142">
        <v>0</v>
      </c>
      <c r="D17" s="584">
        <v>0</v>
      </c>
      <c r="E17" s="142">
        <v>4234.9</v>
      </c>
      <c r="F17" s="585">
        <v>88.83397482821319</v>
      </c>
      <c r="G17" s="138"/>
      <c r="H17" s="586"/>
      <c r="I17" s="15"/>
    </row>
    <row r="18" spans="1:9" ht="12.75" customHeight="1">
      <c r="A18" s="141" t="s">
        <v>1210</v>
      </c>
      <c r="B18" s="138"/>
      <c r="C18" s="142">
        <v>0</v>
      </c>
      <c r="D18" s="584">
        <v>0</v>
      </c>
      <c r="E18" s="142">
        <v>11966.1</v>
      </c>
      <c r="F18" s="585">
        <v>100</v>
      </c>
      <c r="G18" s="138"/>
      <c r="H18" s="586"/>
      <c r="I18" s="15"/>
    </row>
    <row r="19" spans="1:9" ht="12.75" customHeight="1">
      <c r="A19" s="141" t="s">
        <v>1211</v>
      </c>
      <c r="B19" s="138"/>
      <c r="C19" s="142">
        <v>0</v>
      </c>
      <c r="D19" s="584">
        <v>0</v>
      </c>
      <c r="E19" s="142">
        <v>24959.800000000003</v>
      </c>
      <c r="F19" s="585">
        <v>198.48134199793265</v>
      </c>
      <c r="G19" s="138"/>
      <c r="H19" s="586"/>
      <c r="I19" s="15"/>
    </row>
    <row r="20" spans="1:9" ht="12.75" customHeight="1">
      <c r="A20" s="141" t="s">
        <v>1212</v>
      </c>
      <c r="B20" s="138"/>
      <c r="C20" s="142">
        <v>0</v>
      </c>
      <c r="D20" s="584">
        <v>0</v>
      </c>
      <c r="E20" s="142">
        <v>40371.399999999994</v>
      </c>
      <c r="F20" s="585">
        <v>165.41702294198373</v>
      </c>
      <c r="G20" s="138"/>
      <c r="H20" s="586"/>
      <c r="I20" s="15"/>
    </row>
    <row r="21" spans="1:9" ht="12.75" customHeight="1">
      <c r="A21" s="141" t="s">
        <v>282</v>
      </c>
      <c r="B21" s="138"/>
      <c r="C21" s="142">
        <v>14458.2</v>
      </c>
      <c r="D21" s="584">
        <v>124.53337898216928</v>
      </c>
      <c r="E21" s="142">
        <v>87971.69999999998</v>
      </c>
      <c r="F21" s="585">
        <v>170.76978164568837</v>
      </c>
      <c r="G21" s="138"/>
      <c r="H21" s="586"/>
      <c r="I21" s="15"/>
    </row>
    <row r="22" spans="1:9" ht="12.75" customHeight="1">
      <c r="A22" s="141" t="s">
        <v>283</v>
      </c>
      <c r="B22" s="138"/>
      <c r="C22" s="142">
        <v>14442.9</v>
      </c>
      <c r="D22" s="584">
        <v>212.31553219921207</v>
      </c>
      <c r="E22" s="142">
        <v>548246.7000000002</v>
      </c>
      <c r="F22" s="585">
        <v>259.87841021204497</v>
      </c>
      <c r="G22" s="138"/>
      <c r="H22" s="586"/>
      <c r="I22" s="15"/>
    </row>
    <row r="23" spans="1:9" ht="12.75" customHeight="1">
      <c r="A23" s="141" t="s">
        <v>284</v>
      </c>
      <c r="B23" s="138"/>
      <c r="C23" s="142">
        <v>0</v>
      </c>
      <c r="D23" s="584">
        <v>0</v>
      </c>
      <c r="E23" s="142">
        <v>37338.2</v>
      </c>
      <c r="F23" s="585">
        <v>109.71266424198275</v>
      </c>
      <c r="G23" s="138"/>
      <c r="H23" s="586"/>
      <c r="I23" s="15"/>
    </row>
    <row r="24" spans="1:9" ht="12.75" customHeight="1">
      <c r="A24" s="141" t="s">
        <v>285</v>
      </c>
      <c r="B24" s="138"/>
      <c r="C24" s="142">
        <v>2485</v>
      </c>
      <c r="D24" s="584">
        <v>82.6</v>
      </c>
      <c r="E24" s="142">
        <v>108625.69999999998</v>
      </c>
      <c r="F24" s="585">
        <v>168.59541250367087</v>
      </c>
      <c r="G24" s="138"/>
      <c r="H24" s="586"/>
      <c r="I24" s="15"/>
    </row>
    <row r="25" spans="1:9" ht="12.75" customHeight="1">
      <c r="A25" s="141" t="s">
        <v>1213</v>
      </c>
      <c r="B25" s="138"/>
      <c r="C25" s="142">
        <v>0</v>
      </c>
      <c r="D25" s="584">
        <v>0</v>
      </c>
      <c r="E25" s="142">
        <v>23422</v>
      </c>
      <c r="F25" s="585">
        <v>133.88325932883612</v>
      </c>
      <c r="G25" s="138"/>
      <c r="H25" s="586"/>
      <c r="I25" s="15"/>
    </row>
    <row r="26" spans="1:9" ht="12.75" customHeight="1">
      <c r="A26" s="141" t="s">
        <v>286</v>
      </c>
      <c r="B26" s="138"/>
      <c r="C26" s="142">
        <v>8481</v>
      </c>
      <c r="D26" s="584">
        <v>125.51907793892231</v>
      </c>
      <c r="E26" s="142">
        <v>255398</v>
      </c>
      <c r="F26" s="585">
        <v>208.63650850828898</v>
      </c>
      <c r="G26" s="138"/>
      <c r="H26" s="586"/>
      <c r="I26" s="15"/>
    </row>
    <row r="27" spans="1:9" ht="12.75" customHeight="1">
      <c r="A27" s="141" t="s">
        <v>1214</v>
      </c>
      <c r="B27" s="138"/>
      <c r="C27" s="142">
        <v>0</v>
      </c>
      <c r="D27" s="584">
        <v>0</v>
      </c>
      <c r="E27" s="142">
        <v>12462.5</v>
      </c>
      <c r="F27" s="585">
        <v>193.64</v>
      </c>
      <c r="G27" s="138"/>
      <c r="H27" s="586"/>
      <c r="I27" s="15"/>
    </row>
    <row r="28" spans="1:9" ht="12.75" customHeight="1">
      <c r="A28" s="141" t="s">
        <v>287</v>
      </c>
      <c r="B28" s="138"/>
      <c r="C28" s="142">
        <v>4238.4</v>
      </c>
      <c r="D28" s="584">
        <v>115.75620517176293</v>
      </c>
      <c r="E28" s="142">
        <v>183294</v>
      </c>
      <c r="F28" s="585">
        <v>171.023636889369</v>
      </c>
      <c r="G28" s="138"/>
      <c r="H28" s="586"/>
      <c r="I28" s="15"/>
    </row>
    <row r="29" spans="1:9" ht="12.75" customHeight="1">
      <c r="A29" s="141" t="s">
        <v>288</v>
      </c>
      <c r="B29" s="138"/>
      <c r="C29" s="142">
        <v>8486.2</v>
      </c>
      <c r="D29" s="584">
        <v>114.17668685630787</v>
      </c>
      <c r="E29" s="142">
        <v>477583.6</v>
      </c>
      <c r="F29" s="585">
        <v>172.5602074694357</v>
      </c>
      <c r="G29" s="138"/>
      <c r="H29" s="586"/>
      <c r="I29" s="15"/>
    </row>
    <row r="30" spans="1:9" ht="12.75" customHeight="1">
      <c r="A30" s="141" t="s">
        <v>1215</v>
      </c>
      <c r="B30" s="138"/>
      <c r="C30" s="142">
        <v>0</v>
      </c>
      <c r="D30" s="584">
        <v>0</v>
      </c>
      <c r="E30" s="142">
        <v>12483.4</v>
      </c>
      <c r="F30" s="585">
        <v>128.42010990595512</v>
      </c>
      <c r="G30" s="138"/>
      <c r="H30" s="586"/>
      <c r="I30" s="15"/>
    </row>
    <row r="31" spans="1:9" ht="12.75" customHeight="1">
      <c r="A31" s="141" t="s">
        <v>289</v>
      </c>
      <c r="B31" s="138"/>
      <c r="C31" s="142">
        <v>53931</v>
      </c>
      <c r="D31" s="584">
        <v>188.53702879605422</v>
      </c>
      <c r="E31" s="142">
        <v>467338.19999999995</v>
      </c>
      <c r="F31" s="585">
        <v>211.70128485109927</v>
      </c>
      <c r="G31" s="138"/>
      <c r="H31" s="586"/>
      <c r="I31" s="15"/>
    </row>
    <row r="32" spans="1:9" ht="12.75" customHeight="1">
      <c r="A32" s="141" t="s">
        <v>290</v>
      </c>
      <c r="B32" s="138"/>
      <c r="C32" s="142">
        <v>2738</v>
      </c>
      <c r="D32" s="584">
        <v>68.54401022644267</v>
      </c>
      <c r="E32" s="142">
        <v>61736.49999999999</v>
      </c>
      <c r="F32" s="585">
        <v>99.87985065560893</v>
      </c>
      <c r="G32" s="138"/>
      <c r="H32" s="586"/>
      <c r="I32" s="15"/>
    </row>
    <row r="33" spans="1:9" ht="12.75" customHeight="1">
      <c r="A33" s="141" t="s">
        <v>291</v>
      </c>
      <c r="B33" s="138"/>
      <c r="C33" s="142">
        <v>10963.1</v>
      </c>
      <c r="D33" s="584">
        <v>101.4116445166057</v>
      </c>
      <c r="E33" s="142">
        <v>246051.80000000002</v>
      </c>
      <c r="F33" s="585">
        <v>132.07200597597742</v>
      </c>
      <c r="G33" s="138"/>
      <c r="H33" s="586"/>
      <c r="I33" s="15"/>
    </row>
    <row r="34" spans="1:9" ht="12.75" customHeight="1">
      <c r="A34" s="141" t="s">
        <v>292</v>
      </c>
      <c r="B34" s="138"/>
      <c r="C34" s="142">
        <v>12959.4</v>
      </c>
      <c r="D34" s="584">
        <v>123.99113384878929</v>
      </c>
      <c r="E34" s="142">
        <v>144553.29999999996</v>
      </c>
      <c r="F34" s="585">
        <v>197.84766380290185</v>
      </c>
      <c r="G34" s="138"/>
      <c r="H34" s="586"/>
      <c r="I34" s="15"/>
    </row>
    <row r="35" spans="1:9" ht="12.75" customHeight="1">
      <c r="A35" s="141" t="s">
        <v>294</v>
      </c>
      <c r="B35" s="138"/>
      <c r="C35" s="142">
        <v>0</v>
      </c>
      <c r="D35" s="584">
        <v>0</v>
      </c>
      <c r="E35" s="142">
        <v>21114.2</v>
      </c>
      <c r="F35" s="585">
        <v>88.11183942559983</v>
      </c>
      <c r="G35" s="138"/>
      <c r="H35" s="586"/>
      <c r="I35" s="15"/>
    </row>
    <row r="36" spans="1:9" ht="12.75" customHeight="1">
      <c r="A36" s="141" t="s">
        <v>295</v>
      </c>
      <c r="B36" s="138"/>
      <c r="C36" s="142">
        <v>5484.5</v>
      </c>
      <c r="D36" s="584">
        <v>76.45510073844471</v>
      </c>
      <c r="E36" s="142">
        <v>135719.5</v>
      </c>
      <c r="F36" s="585">
        <v>112.7571343837842</v>
      </c>
      <c r="G36" s="138"/>
      <c r="H36" s="586"/>
      <c r="I36" s="15"/>
    </row>
    <row r="37" spans="1:9" ht="12.75" customHeight="1">
      <c r="A37" s="141" t="s">
        <v>1216</v>
      </c>
      <c r="B37" s="138"/>
      <c r="C37" s="142">
        <v>0</v>
      </c>
      <c r="D37" s="584">
        <v>0</v>
      </c>
      <c r="E37" s="142">
        <v>8975.8</v>
      </c>
      <c r="F37" s="585">
        <v>171.7285478731701</v>
      </c>
      <c r="G37" s="138"/>
      <c r="H37" s="586"/>
      <c r="I37" s="15"/>
    </row>
    <row r="38" spans="1:9" ht="12.75" customHeight="1">
      <c r="A38" s="141" t="s">
        <v>293</v>
      </c>
      <c r="B38" s="138"/>
      <c r="C38" s="142">
        <v>1747</v>
      </c>
      <c r="D38" s="584">
        <v>105.99828277046365</v>
      </c>
      <c r="E38" s="142">
        <v>203586.80000000002</v>
      </c>
      <c r="F38" s="585">
        <v>173.77335171042523</v>
      </c>
      <c r="G38" s="138"/>
      <c r="H38" s="586"/>
      <c r="I38" s="15"/>
    </row>
    <row r="39" spans="1:9" ht="12.75" customHeight="1">
      <c r="A39" s="141" t="s">
        <v>1217</v>
      </c>
      <c r="B39" s="138"/>
      <c r="C39" s="142">
        <v>0</v>
      </c>
      <c r="D39" s="584">
        <v>0</v>
      </c>
      <c r="E39" s="142">
        <v>33879.8</v>
      </c>
      <c r="F39" s="585">
        <v>192.20977691721907</v>
      </c>
      <c r="G39" s="138"/>
      <c r="H39" s="586"/>
      <c r="I39" s="15"/>
    </row>
    <row r="40" spans="1:9" ht="12.75" customHeight="1">
      <c r="A40" s="141" t="s">
        <v>1218</v>
      </c>
      <c r="B40" s="138"/>
      <c r="C40" s="142">
        <v>2992.4</v>
      </c>
      <c r="D40" s="584">
        <v>110.84113086485763</v>
      </c>
      <c r="E40" s="142">
        <v>38433.200000000004</v>
      </c>
      <c r="F40" s="585">
        <v>166.26612408022228</v>
      </c>
      <c r="G40" s="138"/>
      <c r="H40" s="586"/>
      <c r="I40" s="15"/>
    </row>
    <row r="41" spans="1:9" ht="12.75" customHeight="1">
      <c r="A41" s="141" t="s">
        <v>296</v>
      </c>
      <c r="B41" s="138"/>
      <c r="C41" s="142">
        <v>5485.6</v>
      </c>
      <c r="D41" s="584">
        <v>80.7354163628409</v>
      </c>
      <c r="E41" s="142">
        <v>169611.10000000003</v>
      </c>
      <c r="F41" s="585">
        <v>147.77867663142322</v>
      </c>
      <c r="G41" s="138"/>
      <c r="H41" s="586"/>
      <c r="I41" s="15"/>
    </row>
    <row r="42" spans="1:9" ht="12.75" customHeight="1">
      <c r="A42" s="141" t="s">
        <v>297</v>
      </c>
      <c r="B42" s="138"/>
      <c r="C42" s="142">
        <v>3494</v>
      </c>
      <c r="D42" s="584">
        <v>75</v>
      </c>
      <c r="E42" s="142">
        <v>86970</v>
      </c>
      <c r="F42" s="585">
        <v>107.99923306887432</v>
      </c>
      <c r="G42" s="138"/>
      <c r="H42" s="586"/>
      <c r="I42" s="15"/>
    </row>
    <row r="43" spans="1:9" ht="12.75" customHeight="1">
      <c r="A43" s="141" t="s">
        <v>313</v>
      </c>
      <c r="B43" s="138"/>
      <c r="C43" s="142">
        <v>2492.5</v>
      </c>
      <c r="D43" s="584">
        <v>120</v>
      </c>
      <c r="E43" s="142">
        <v>79206</v>
      </c>
      <c r="F43" s="585">
        <v>159.99405600585817</v>
      </c>
      <c r="G43" s="138"/>
      <c r="H43" s="586"/>
      <c r="I43" s="15"/>
    </row>
    <row r="44" spans="1:9" ht="12.75" customHeight="1">
      <c r="A44" s="141" t="s">
        <v>298</v>
      </c>
      <c r="B44" s="138"/>
      <c r="C44" s="142">
        <v>10732.6</v>
      </c>
      <c r="D44" s="584">
        <v>105.67572629185845</v>
      </c>
      <c r="E44" s="142">
        <v>562952.4</v>
      </c>
      <c r="F44" s="585">
        <v>166.78261661199062</v>
      </c>
      <c r="G44" s="138"/>
      <c r="H44" s="586"/>
      <c r="I44" s="15"/>
    </row>
    <row r="45" spans="1:9" ht="12.75" customHeight="1">
      <c r="A45" s="141" t="s">
        <v>1219</v>
      </c>
      <c r="B45" s="138"/>
      <c r="C45" s="142">
        <v>4493.2</v>
      </c>
      <c r="D45" s="584">
        <v>178.11114573132735</v>
      </c>
      <c r="E45" s="142">
        <v>64888.2</v>
      </c>
      <c r="F45" s="585">
        <v>190.56653443923548</v>
      </c>
      <c r="G45" s="138"/>
      <c r="H45" s="586"/>
      <c r="I45" s="15"/>
    </row>
    <row r="46" spans="1:9" ht="12.75" customHeight="1">
      <c r="A46" s="141" t="s">
        <v>299</v>
      </c>
      <c r="B46" s="138"/>
      <c r="C46" s="142">
        <v>0</v>
      </c>
      <c r="D46" s="584">
        <v>0</v>
      </c>
      <c r="E46" s="142">
        <v>78246.09999999999</v>
      </c>
      <c r="F46" s="585">
        <v>115.10739704598697</v>
      </c>
      <c r="G46" s="138"/>
      <c r="H46" s="586"/>
      <c r="I46" s="15"/>
    </row>
    <row r="47" spans="1:9" ht="12.75" customHeight="1">
      <c r="A47" s="141" t="s">
        <v>1220</v>
      </c>
      <c r="B47" s="138"/>
      <c r="C47" s="142">
        <v>0</v>
      </c>
      <c r="D47" s="584">
        <v>0</v>
      </c>
      <c r="E47" s="142">
        <v>17966.1</v>
      </c>
      <c r="F47" s="585">
        <v>108.66740694975537</v>
      </c>
      <c r="G47" s="138"/>
      <c r="H47" s="586"/>
      <c r="I47" s="15"/>
    </row>
    <row r="48" spans="1:9" ht="12.75" customHeight="1">
      <c r="A48" s="141" t="s">
        <v>300</v>
      </c>
      <c r="B48" s="138"/>
      <c r="C48" s="142">
        <v>0</v>
      </c>
      <c r="D48" s="584">
        <v>0</v>
      </c>
      <c r="E48" s="142">
        <v>93071.2</v>
      </c>
      <c r="F48" s="585">
        <v>113.54569404928701</v>
      </c>
      <c r="G48" s="138"/>
      <c r="H48" s="586"/>
      <c r="I48" s="15"/>
    </row>
    <row r="49" spans="1:9" ht="12.75" customHeight="1">
      <c r="A49" s="141" t="s">
        <v>301</v>
      </c>
      <c r="B49" s="138"/>
      <c r="C49" s="142">
        <v>31920.2</v>
      </c>
      <c r="D49" s="584">
        <v>144.31469101070795</v>
      </c>
      <c r="E49" s="142">
        <v>855590.3</v>
      </c>
      <c r="F49" s="585">
        <v>193.93350158364348</v>
      </c>
      <c r="G49" s="138"/>
      <c r="H49" s="586"/>
      <c r="I49" s="15"/>
    </row>
    <row r="50" spans="1:9" ht="12.75" customHeight="1">
      <c r="A50" s="141" t="s">
        <v>302</v>
      </c>
      <c r="B50" s="138"/>
      <c r="C50" s="142">
        <v>2492.5</v>
      </c>
      <c r="D50" s="584">
        <v>82.2</v>
      </c>
      <c r="E50" s="142">
        <v>192519.30000000005</v>
      </c>
      <c r="F50" s="585">
        <v>109.47936440658155</v>
      </c>
      <c r="G50" s="138"/>
      <c r="H50" s="586"/>
      <c r="I50" s="15"/>
    </row>
    <row r="51" spans="1:9" ht="12.75" customHeight="1">
      <c r="A51" s="141" t="s">
        <v>303</v>
      </c>
      <c r="B51" s="138"/>
      <c r="C51" s="142">
        <v>0</v>
      </c>
      <c r="D51" s="584">
        <v>0</v>
      </c>
      <c r="E51" s="142">
        <v>178976.2</v>
      </c>
      <c r="F51" s="585">
        <v>126.00031009709672</v>
      </c>
      <c r="G51" s="138"/>
      <c r="H51" s="586"/>
      <c r="I51" s="15"/>
    </row>
    <row r="52" spans="1:9" ht="12.75" customHeight="1">
      <c r="A52" s="141" t="s">
        <v>314</v>
      </c>
      <c r="B52" s="138"/>
      <c r="C52" s="142">
        <v>497</v>
      </c>
      <c r="D52" s="584">
        <v>100</v>
      </c>
      <c r="E52" s="142">
        <v>65092.2</v>
      </c>
      <c r="F52" s="585">
        <v>162.99304524966126</v>
      </c>
      <c r="G52" s="138"/>
      <c r="H52" s="586"/>
      <c r="I52" s="15"/>
    </row>
    <row r="53" spans="1:9" ht="12.75" customHeight="1">
      <c r="A53" s="141" t="s">
        <v>1221</v>
      </c>
      <c r="B53" s="138"/>
      <c r="C53" s="587">
        <v>0</v>
      </c>
      <c r="D53" s="588">
        <v>0</v>
      </c>
      <c r="E53" s="587">
        <v>12413.2</v>
      </c>
      <c r="F53" s="589">
        <v>97.331026649051</v>
      </c>
      <c r="G53" s="138"/>
      <c r="H53" s="586"/>
      <c r="I53" s="15"/>
    </row>
    <row r="54" spans="1:9" ht="12.75" customHeight="1">
      <c r="A54" s="143" t="s">
        <v>304</v>
      </c>
      <c r="B54" s="144"/>
      <c r="C54" s="145">
        <v>221466.60000000003</v>
      </c>
      <c r="D54" s="590">
        <v>139.59045788394275</v>
      </c>
      <c r="E54" s="145">
        <v>6373198.1</v>
      </c>
      <c r="F54" s="591">
        <v>173.61005739018216</v>
      </c>
      <c r="G54" s="138"/>
      <c r="H54" s="586"/>
      <c r="I54" s="15"/>
    </row>
    <row r="55" spans="1:9" ht="12.75" customHeight="1">
      <c r="A55" s="146" t="s">
        <v>36</v>
      </c>
      <c r="B55" s="144"/>
      <c r="C55" s="145"/>
      <c r="D55" s="590"/>
      <c r="E55" s="145"/>
      <c r="F55" s="591"/>
      <c r="G55" s="138"/>
      <c r="H55" s="586"/>
      <c r="I55" s="15"/>
    </row>
    <row r="56" spans="1:9" ht="12.75" customHeight="1">
      <c r="A56" s="146" t="s">
        <v>1222</v>
      </c>
      <c r="B56" s="144"/>
      <c r="C56" s="145" t="s">
        <v>0</v>
      </c>
      <c r="D56" s="590" t="s">
        <v>1</v>
      </c>
      <c r="E56" s="145" t="s">
        <v>0</v>
      </c>
      <c r="F56" s="592" t="s">
        <v>1</v>
      </c>
      <c r="G56" s="138"/>
      <c r="H56" s="586"/>
      <c r="I56" s="15"/>
    </row>
    <row r="57" spans="1:9" ht="12.75" customHeight="1">
      <c r="A57" s="143" t="s">
        <v>1223</v>
      </c>
      <c r="B57" s="144"/>
      <c r="C57" s="593">
        <v>0</v>
      </c>
      <c r="D57" s="594">
        <v>0</v>
      </c>
      <c r="E57" s="595">
        <v>10979.6</v>
      </c>
      <c r="F57" s="596">
        <v>122.77976429013806</v>
      </c>
      <c r="G57" s="138"/>
      <c r="H57" s="586"/>
      <c r="I57" s="15"/>
    </row>
    <row r="58" spans="1:9" ht="12.75" customHeight="1">
      <c r="A58" s="143" t="s">
        <v>1224</v>
      </c>
      <c r="B58" s="144"/>
      <c r="C58" s="147">
        <v>0</v>
      </c>
      <c r="D58" s="597">
        <v>0</v>
      </c>
      <c r="E58" s="147">
        <v>11368.6</v>
      </c>
      <c r="F58" s="598">
        <v>145.43879633376142</v>
      </c>
      <c r="G58" s="138"/>
      <c r="H58" s="586"/>
      <c r="I58" s="15"/>
    </row>
    <row r="59" spans="1:9" ht="12.75" customHeight="1">
      <c r="A59" s="143" t="s">
        <v>1225</v>
      </c>
      <c r="B59" s="144"/>
      <c r="C59" s="147">
        <v>0</v>
      </c>
      <c r="D59" s="597">
        <v>0</v>
      </c>
      <c r="E59" s="145">
        <v>43903.5</v>
      </c>
      <c r="F59" s="599">
        <v>161.5758242509139</v>
      </c>
      <c r="G59" s="138"/>
      <c r="H59" s="586"/>
      <c r="I59" s="15"/>
    </row>
    <row r="60" spans="1:9" ht="12.75" customHeight="1">
      <c r="A60" s="143" t="s">
        <v>304</v>
      </c>
      <c r="B60" s="144"/>
      <c r="C60" s="145">
        <v>0</v>
      </c>
      <c r="D60" s="590">
        <v>0</v>
      </c>
      <c r="E60" s="145">
        <v>66251.7</v>
      </c>
      <c r="F60" s="599">
        <v>152.3772582439394</v>
      </c>
      <c r="G60" s="138"/>
      <c r="H60" s="586"/>
      <c r="I60" s="15"/>
    </row>
    <row r="61" spans="1:9" ht="12.75" customHeight="1">
      <c r="A61" s="143" t="s">
        <v>1226</v>
      </c>
      <c r="B61" s="144"/>
      <c r="C61" s="145">
        <v>221466.60000000003</v>
      </c>
      <c r="D61" s="590">
        <v>139.59045788394275</v>
      </c>
      <c r="E61" s="145">
        <v>6439449.8</v>
      </c>
      <c r="F61" s="599">
        <v>173.39160564618422</v>
      </c>
      <c r="G61" s="138"/>
      <c r="H61" s="586"/>
      <c r="I61" s="15"/>
    </row>
    <row r="62" spans="1:9" ht="12.75" customHeight="1">
      <c r="A62" s="146" t="s">
        <v>1227</v>
      </c>
      <c r="B62" s="144"/>
      <c r="C62" s="145" t="s">
        <v>306</v>
      </c>
      <c r="D62" s="590" t="s">
        <v>307</v>
      </c>
      <c r="E62" s="145" t="s">
        <v>306</v>
      </c>
      <c r="F62" s="592" t="s">
        <v>307</v>
      </c>
      <c r="G62" s="138"/>
      <c r="H62" s="586"/>
      <c r="I62" s="15"/>
    </row>
    <row r="63" spans="1:9" ht="12.75" customHeight="1">
      <c r="A63" s="143" t="s">
        <v>287</v>
      </c>
      <c r="B63" s="144"/>
      <c r="C63" s="147">
        <v>20</v>
      </c>
      <c r="D63" s="597">
        <v>900</v>
      </c>
      <c r="E63" s="147">
        <v>241</v>
      </c>
      <c r="F63" s="600">
        <v>1192.3651452282159</v>
      </c>
      <c r="G63" s="138"/>
      <c r="H63" s="586"/>
      <c r="I63" s="15"/>
    </row>
    <row r="64" spans="1:9" ht="12.75" customHeight="1">
      <c r="A64" s="143" t="s">
        <v>1218</v>
      </c>
      <c r="B64" s="144"/>
      <c r="C64" s="145">
        <v>0</v>
      </c>
      <c r="D64" s="590">
        <v>0</v>
      </c>
      <c r="E64" s="145">
        <v>12</v>
      </c>
      <c r="F64" s="592">
        <v>1212.5</v>
      </c>
      <c r="G64" s="138"/>
      <c r="H64" s="586"/>
      <c r="I64" s="15"/>
    </row>
    <row r="65" spans="1:9" ht="12.75" customHeight="1">
      <c r="A65" s="143" t="s">
        <v>304</v>
      </c>
      <c r="B65" s="144"/>
      <c r="C65" s="145">
        <v>20</v>
      </c>
      <c r="D65" s="590">
        <v>900</v>
      </c>
      <c r="E65" s="145">
        <v>253</v>
      </c>
      <c r="F65" s="592">
        <v>1193.3201581027668</v>
      </c>
      <c r="G65" s="138"/>
      <c r="H65" s="586"/>
      <c r="I65" s="15"/>
    </row>
    <row r="66" spans="1:9" ht="12.75" customHeight="1">
      <c r="A66" s="143" t="s">
        <v>1226</v>
      </c>
      <c r="B66" s="144"/>
      <c r="C66" s="145">
        <v>221486.60000000003</v>
      </c>
      <c r="D66" s="590">
        <v>139.65912204169462</v>
      </c>
      <c r="E66" s="145">
        <v>6439702.8</v>
      </c>
      <c r="F66" s="592">
        <v>173.43167611710277</v>
      </c>
      <c r="G66" s="138"/>
      <c r="H66" s="586"/>
      <c r="I66" s="15"/>
    </row>
    <row r="67" spans="1:9" ht="12.75" customHeight="1">
      <c r="A67" s="146" t="s">
        <v>1228</v>
      </c>
      <c r="B67" s="144"/>
      <c r="C67" s="145" t="s">
        <v>0</v>
      </c>
      <c r="D67" s="590" t="s">
        <v>1</v>
      </c>
      <c r="E67" s="145" t="s">
        <v>0</v>
      </c>
      <c r="F67" s="591" t="s">
        <v>1</v>
      </c>
      <c r="G67" s="138"/>
      <c r="H67" s="586"/>
      <c r="I67" s="15"/>
    </row>
    <row r="68" spans="1:9" ht="12.75" customHeight="1">
      <c r="A68" s="143" t="s">
        <v>278</v>
      </c>
      <c r="B68" s="144"/>
      <c r="C68" s="593">
        <v>0</v>
      </c>
      <c r="D68" s="594">
        <v>0</v>
      </c>
      <c r="E68" s="142">
        <v>1183</v>
      </c>
      <c r="F68" s="596">
        <v>217.62890955198648</v>
      </c>
      <c r="G68" s="138"/>
      <c r="H68" s="586"/>
      <c r="I68" s="15"/>
    </row>
    <row r="69" spans="1:9" ht="12.75" customHeight="1">
      <c r="A69" s="143" t="s">
        <v>294</v>
      </c>
      <c r="B69" s="144"/>
      <c r="C69" s="147">
        <v>0</v>
      </c>
      <c r="D69" s="597">
        <v>0</v>
      </c>
      <c r="E69" s="145">
        <v>497</v>
      </c>
      <c r="F69" s="592">
        <v>115</v>
      </c>
      <c r="G69" s="138"/>
      <c r="H69" s="586"/>
      <c r="I69" s="15"/>
    </row>
    <row r="70" spans="1:9" ht="12.75" customHeight="1">
      <c r="A70" s="143" t="s">
        <v>304</v>
      </c>
      <c r="B70" s="144"/>
      <c r="C70" s="145">
        <v>0</v>
      </c>
      <c r="D70" s="590">
        <v>0</v>
      </c>
      <c r="E70" s="145">
        <v>1680</v>
      </c>
      <c r="F70" s="592">
        <v>187.26785714285714</v>
      </c>
      <c r="G70" s="138"/>
      <c r="H70" s="586"/>
      <c r="I70" s="15"/>
    </row>
    <row r="71" spans="1:9" ht="12.75" customHeight="1">
      <c r="A71" s="143" t="s">
        <v>308</v>
      </c>
      <c r="B71" s="144"/>
      <c r="C71" s="145">
        <v>221486.60000000003</v>
      </c>
      <c r="D71" s="590">
        <v>139.65912204169462</v>
      </c>
      <c r="E71" s="145">
        <v>6441382.8</v>
      </c>
      <c r="F71" s="592">
        <v>173.43528478077715</v>
      </c>
      <c r="G71" s="138"/>
      <c r="H71" s="586"/>
      <c r="I71" s="15"/>
    </row>
    <row r="72" spans="1:9" ht="12.75" customHeight="1">
      <c r="A72" s="143"/>
      <c r="B72" s="144"/>
      <c r="C72" s="145" t="s">
        <v>1457</v>
      </c>
      <c r="D72" s="590"/>
      <c r="E72" s="601" t="s">
        <v>1459</v>
      </c>
      <c r="F72" s="591"/>
      <c r="G72" s="145"/>
      <c r="H72" s="586"/>
      <c r="I72" s="15"/>
    </row>
    <row r="73" spans="1:10" ht="12.75" customHeight="1">
      <c r="A73" s="602" t="s">
        <v>40</v>
      </c>
      <c r="B73" s="603" t="s">
        <v>41</v>
      </c>
      <c r="C73" s="604" t="s">
        <v>0</v>
      </c>
      <c r="D73" s="605" t="s">
        <v>164</v>
      </c>
      <c r="E73" s="604" t="s">
        <v>41</v>
      </c>
      <c r="F73" s="606" t="s">
        <v>0</v>
      </c>
      <c r="G73" s="607" t="s">
        <v>164</v>
      </c>
      <c r="H73" s="608" t="s">
        <v>2</v>
      </c>
      <c r="I73" s="15"/>
      <c r="J73" s="552"/>
    </row>
    <row r="74" spans="1:10" ht="12.75" customHeight="1">
      <c r="A74" s="143" t="s">
        <v>42</v>
      </c>
      <c r="B74" s="609">
        <v>0</v>
      </c>
      <c r="C74" s="610">
        <v>0</v>
      </c>
      <c r="D74" s="597">
        <v>0</v>
      </c>
      <c r="E74" s="609">
        <v>5</v>
      </c>
      <c r="F74" s="610">
        <v>249.5</v>
      </c>
      <c r="G74" s="597">
        <v>210</v>
      </c>
      <c r="H74" s="597">
        <v>3.873391905849782E-05</v>
      </c>
      <c r="I74" s="15"/>
      <c r="J74" s="552"/>
    </row>
    <row r="75" spans="1:10" ht="12.75" customHeight="1">
      <c r="A75" s="143" t="s">
        <v>43</v>
      </c>
      <c r="B75" s="611">
        <v>4441</v>
      </c>
      <c r="C75" s="612">
        <v>221486.6</v>
      </c>
      <c r="D75" s="590">
        <v>139.65912204169462</v>
      </c>
      <c r="E75" s="611">
        <v>129150</v>
      </c>
      <c r="F75" s="613">
        <v>6441133.299999999</v>
      </c>
      <c r="G75" s="614">
        <v>173.43386843119674</v>
      </c>
      <c r="H75" s="615">
        <v>0.9999612660809415</v>
      </c>
      <c r="I75" s="15"/>
      <c r="J75" s="552"/>
    </row>
    <row r="76" spans="1:9" ht="12.75" customHeight="1">
      <c r="A76" s="143" t="s">
        <v>44</v>
      </c>
      <c r="B76" s="611">
        <v>4441</v>
      </c>
      <c r="C76" s="612">
        <v>221486.6</v>
      </c>
      <c r="D76" s="590">
        <v>139.65912204169462</v>
      </c>
      <c r="E76" s="611">
        <v>129155</v>
      </c>
      <c r="F76" s="613">
        <v>6441382.799999999</v>
      </c>
      <c r="G76" s="614">
        <v>173.4352847807772</v>
      </c>
      <c r="H76" s="615">
        <v>1</v>
      </c>
      <c r="I76" s="15"/>
    </row>
    <row r="77" spans="1:9" ht="12.75" customHeight="1">
      <c r="A77" s="143"/>
      <c r="B77" s="616"/>
      <c r="C77" s="145"/>
      <c r="D77" s="590"/>
      <c r="E77" s="616"/>
      <c r="F77" s="617"/>
      <c r="G77" s="591"/>
      <c r="H77" s="618"/>
      <c r="I77" s="15"/>
    </row>
    <row r="78" spans="1:9" ht="12.75" customHeight="1">
      <c r="A78" s="395"/>
      <c r="B78" s="396"/>
      <c r="C78" s="397"/>
      <c r="D78" s="398"/>
      <c r="E78" s="399"/>
      <c r="F78" s="400"/>
      <c r="G78" s="444"/>
      <c r="H78" s="396"/>
      <c r="I78" s="15"/>
    </row>
    <row r="79" spans="1:9" ht="12.75" customHeight="1">
      <c r="A79" s="395"/>
      <c r="B79" s="396"/>
      <c r="C79" s="397"/>
      <c r="D79" s="398"/>
      <c r="E79" s="399"/>
      <c r="F79" s="400"/>
      <c r="G79" s="444"/>
      <c r="H79" s="396"/>
      <c r="I79" s="15"/>
    </row>
    <row r="80" spans="1:9" ht="12.75" customHeight="1">
      <c r="A80" s="395"/>
      <c r="B80" s="396"/>
      <c r="C80" s="397"/>
      <c r="D80" s="398"/>
      <c r="E80" s="399"/>
      <c r="F80" s="400"/>
      <c r="G80" s="444"/>
      <c r="H80" s="396"/>
      <c r="I80" s="15"/>
    </row>
    <row r="81" spans="1:9" ht="12.75" customHeight="1">
      <c r="A81" s="395"/>
      <c r="B81" s="396"/>
      <c r="C81" s="397"/>
      <c r="D81" s="398"/>
      <c r="E81" s="399"/>
      <c r="F81" s="400"/>
      <c r="G81" s="444"/>
      <c r="H81" s="396"/>
      <c r="I81" s="15"/>
    </row>
    <row r="82" spans="1:9" ht="12.75" customHeight="1">
      <c r="A82" s="395"/>
      <c r="B82" s="396"/>
      <c r="C82" s="397"/>
      <c r="D82" s="398"/>
      <c r="E82" s="399"/>
      <c r="F82" s="400"/>
      <c r="G82" s="444"/>
      <c r="H82" s="396"/>
      <c r="I82" s="15"/>
    </row>
    <row r="83" spans="1:9" ht="12.75" customHeight="1">
      <c r="A83" s="395"/>
      <c r="B83" s="396"/>
      <c r="C83" s="397"/>
      <c r="D83" s="398"/>
      <c r="E83" s="399"/>
      <c r="F83" s="400"/>
      <c r="G83" s="444"/>
      <c r="H83" s="396"/>
      <c r="I83" s="15"/>
    </row>
    <row r="84" spans="1:9" ht="12.75" customHeight="1">
      <c r="A84" s="395"/>
      <c r="B84" s="396"/>
      <c r="C84" s="397"/>
      <c r="D84" s="398"/>
      <c r="E84" s="399"/>
      <c r="F84" s="400"/>
      <c r="G84" s="444"/>
      <c r="H84" s="396"/>
      <c r="I84" s="15"/>
    </row>
    <row r="85" spans="1:9" ht="12.75" customHeight="1">
      <c r="A85" s="395"/>
      <c r="B85" s="396"/>
      <c r="C85" s="397"/>
      <c r="D85" s="398"/>
      <c r="E85" s="399"/>
      <c r="F85" s="400"/>
      <c r="G85" s="444"/>
      <c r="H85" s="396"/>
      <c r="I85" s="15"/>
    </row>
    <row r="86" spans="1:9" ht="12.75" customHeight="1">
      <c r="A86" s="395"/>
      <c r="B86" s="396"/>
      <c r="C86" s="397"/>
      <c r="D86" s="398"/>
      <c r="E86" s="399"/>
      <c r="F86" s="400"/>
      <c r="G86" s="444"/>
      <c r="H86" s="396"/>
      <c r="I86" s="15"/>
    </row>
    <row r="87" spans="1:9" ht="12.75" customHeight="1">
      <c r="A87" s="395"/>
      <c r="B87" s="396"/>
      <c r="C87" s="397"/>
      <c r="D87" s="398"/>
      <c r="E87" s="399"/>
      <c r="F87" s="400"/>
      <c r="G87" s="444"/>
      <c r="H87" s="396"/>
      <c r="I87" s="15"/>
    </row>
    <row r="88" spans="1:9" ht="12.75" customHeight="1">
      <c r="A88" s="395"/>
      <c r="B88" s="396"/>
      <c r="C88" s="397"/>
      <c r="D88" s="398"/>
      <c r="E88" s="399"/>
      <c r="F88" s="400"/>
      <c r="G88" s="444"/>
      <c r="H88" s="396"/>
      <c r="I88" s="15"/>
    </row>
    <row r="89" spans="1:9" ht="12.75" customHeight="1">
      <c r="A89" s="395"/>
      <c r="B89" s="396"/>
      <c r="C89" s="397"/>
      <c r="D89" s="398"/>
      <c r="E89" s="399"/>
      <c r="F89" s="400"/>
      <c r="G89" s="444"/>
      <c r="H89" s="396"/>
      <c r="I89" s="15"/>
    </row>
    <row r="90" spans="1:9" ht="12.75" customHeight="1">
      <c r="A90" s="395"/>
      <c r="B90" s="396"/>
      <c r="C90" s="397"/>
      <c r="D90" s="398"/>
      <c r="E90" s="399"/>
      <c r="F90" s="400"/>
      <c r="G90" s="444"/>
      <c r="H90" s="396"/>
      <c r="I90" s="15"/>
    </row>
    <row r="91" spans="1:9" ht="12.75" customHeight="1">
      <c r="A91" s="395"/>
      <c r="B91" s="396"/>
      <c r="C91" s="397"/>
      <c r="D91" s="398"/>
      <c r="E91" s="399"/>
      <c r="F91" s="400"/>
      <c r="G91" s="444"/>
      <c r="H91" s="396"/>
      <c r="I91" s="15"/>
    </row>
    <row r="92" spans="1:9" ht="12.75" customHeight="1">
      <c r="A92" s="395"/>
      <c r="B92" s="396"/>
      <c r="C92" s="397"/>
      <c r="D92" s="398"/>
      <c r="E92" s="399"/>
      <c r="F92" s="400"/>
      <c r="G92" s="444"/>
      <c r="H92" s="396"/>
      <c r="I92" s="15"/>
    </row>
    <row r="93" spans="1:9" ht="12.75" customHeight="1">
      <c r="A93" s="395"/>
      <c r="B93" s="396"/>
      <c r="C93" s="397"/>
      <c r="D93" s="398"/>
      <c r="E93" s="399"/>
      <c r="F93" s="400"/>
      <c r="G93" s="444"/>
      <c r="H93" s="396"/>
      <c r="I93" s="15"/>
    </row>
    <row r="94" spans="1:9" ht="12.75" customHeight="1">
      <c r="A94" s="395"/>
      <c r="B94" s="396"/>
      <c r="C94" s="397"/>
      <c r="D94" s="398"/>
      <c r="E94" s="399"/>
      <c r="F94" s="400"/>
      <c r="G94" s="444"/>
      <c r="H94" s="396"/>
      <c r="I94" s="15"/>
    </row>
    <row r="95" spans="1:9" ht="12.75" customHeight="1">
      <c r="A95" s="395"/>
      <c r="B95" s="396"/>
      <c r="C95" s="397"/>
      <c r="D95" s="398"/>
      <c r="E95" s="399"/>
      <c r="F95" s="400"/>
      <c r="G95" s="444"/>
      <c r="H95" s="396"/>
      <c r="I95" s="15"/>
    </row>
    <row r="96" spans="1:9" ht="12.75" customHeight="1">
      <c r="A96" s="395"/>
      <c r="B96" s="396"/>
      <c r="C96" s="397"/>
      <c r="D96" s="398"/>
      <c r="E96" s="399"/>
      <c r="F96" s="400"/>
      <c r="G96" s="444"/>
      <c r="H96" s="396"/>
      <c r="I96" s="15"/>
    </row>
    <row r="97" spans="1:9" ht="12.75" customHeight="1">
      <c r="A97" s="395"/>
      <c r="B97" s="396"/>
      <c r="C97" s="397"/>
      <c r="D97" s="398"/>
      <c r="E97" s="399"/>
      <c r="F97" s="400"/>
      <c r="G97" s="444"/>
      <c r="H97" s="396"/>
      <c r="I97" s="15"/>
    </row>
    <row r="98" spans="1:9" ht="12.75" customHeight="1">
      <c r="A98" s="395"/>
      <c r="B98" s="396"/>
      <c r="C98" s="397"/>
      <c r="D98" s="398"/>
      <c r="E98" s="399"/>
      <c r="F98" s="400"/>
      <c r="G98" s="444"/>
      <c r="H98" s="396"/>
      <c r="I98" s="15"/>
    </row>
    <row r="99" spans="1:9" ht="12.75" customHeight="1">
      <c r="A99" s="395"/>
      <c r="B99" s="396"/>
      <c r="C99" s="397"/>
      <c r="D99" s="398"/>
      <c r="E99" s="399"/>
      <c r="F99" s="400"/>
      <c r="G99" s="444"/>
      <c r="H99" s="396"/>
      <c r="I99" s="15"/>
    </row>
    <row r="100" spans="1:9" ht="12.75" customHeight="1">
      <c r="A100" s="395"/>
      <c r="B100" s="396"/>
      <c r="C100" s="397"/>
      <c r="D100" s="398"/>
      <c r="E100" s="399"/>
      <c r="F100" s="400"/>
      <c r="G100" s="444"/>
      <c r="H100" s="396"/>
      <c r="I100" s="15"/>
    </row>
    <row r="101" spans="1:9" ht="12.75" customHeight="1">
      <c r="A101" s="395"/>
      <c r="B101" s="396"/>
      <c r="C101" s="397"/>
      <c r="D101" s="398"/>
      <c r="E101" s="399"/>
      <c r="F101" s="400"/>
      <c r="G101" s="444"/>
      <c r="H101" s="396"/>
      <c r="I101" s="15"/>
    </row>
    <row r="102" spans="1:9" ht="12.75" customHeight="1">
      <c r="A102" s="395"/>
      <c r="B102" s="396"/>
      <c r="C102" s="397"/>
      <c r="D102" s="398"/>
      <c r="E102" s="399"/>
      <c r="F102" s="400"/>
      <c r="G102" s="444"/>
      <c r="H102" s="396"/>
      <c r="I102" s="15"/>
    </row>
    <row r="103" spans="1:9" ht="12.75" customHeight="1">
      <c r="A103" s="395"/>
      <c r="B103" s="396"/>
      <c r="C103" s="397"/>
      <c r="D103" s="398"/>
      <c r="E103" s="399"/>
      <c r="F103" s="400"/>
      <c r="G103" s="444"/>
      <c r="H103" s="396"/>
      <c r="I103" s="15"/>
    </row>
    <row r="104" spans="1:9" ht="12.75" customHeight="1">
      <c r="A104" s="395"/>
      <c r="B104" s="396"/>
      <c r="C104" s="397"/>
      <c r="D104" s="398"/>
      <c r="E104" s="399"/>
      <c r="F104" s="400"/>
      <c r="G104" s="444"/>
      <c r="H104" s="396"/>
      <c r="I104" s="15"/>
    </row>
    <row r="105" spans="1:9" ht="12.75" customHeight="1">
      <c r="A105" s="395"/>
      <c r="B105" s="396"/>
      <c r="C105" s="397"/>
      <c r="D105" s="398"/>
      <c r="E105" s="399"/>
      <c r="F105" s="400"/>
      <c r="G105" s="444"/>
      <c r="H105" s="396"/>
      <c r="I105" s="15"/>
    </row>
    <row r="106" spans="1:9" ht="12.75" customHeight="1">
      <c r="A106" s="395"/>
      <c r="B106" s="396"/>
      <c r="C106" s="397"/>
      <c r="D106" s="398"/>
      <c r="E106" s="399"/>
      <c r="F106" s="400"/>
      <c r="G106" s="444"/>
      <c r="H106" s="396"/>
      <c r="I106" s="15"/>
    </row>
    <row r="107" spans="1:9" ht="12.75" customHeight="1">
      <c r="A107" s="395"/>
      <c r="B107" s="396"/>
      <c r="C107" s="397"/>
      <c r="D107" s="398"/>
      <c r="E107" s="399"/>
      <c r="F107" s="400"/>
      <c r="G107" s="444"/>
      <c r="H107" s="396"/>
      <c r="I107" s="15"/>
    </row>
    <row r="108" spans="1:9" ht="12.75" customHeight="1">
      <c r="A108" s="395"/>
      <c r="B108" s="396"/>
      <c r="C108" s="397"/>
      <c r="D108" s="398"/>
      <c r="E108" s="399"/>
      <c r="F108" s="400"/>
      <c r="G108" s="444"/>
      <c r="H108" s="396"/>
      <c r="I108" s="15"/>
    </row>
    <row r="109" spans="1:9" ht="12.75" customHeight="1">
      <c r="A109" s="395"/>
      <c r="B109" s="396"/>
      <c r="C109" s="397"/>
      <c r="D109" s="398"/>
      <c r="E109" s="399"/>
      <c r="F109" s="400"/>
      <c r="G109" s="444"/>
      <c r="H109" s="396"/>
      <c r="I109" s="15"/>
    </row>
    <row r="110" spans="1:9" ht="12.75" customHeight="1">
      <c r="A110" s="395"/>
      <c r="B110" s="396"/>
      <c r="C110" s="397"/>
      <c r="D110" s="398"/>
      <c r="E110" s="399"/>
      <c r="F110" s="400"/>
      <c r="G110" s="444"/>
      <c r="H110" s="396"/>
      <c r="I110" s="15"/>
    </row>
    <row r="111" spans="1:9" ht="12.75" customHeight="1">
      <c r="A111" s="395"/>
      <c r="B111" s="396"/>
      <c r="C111" s="397"/>
      <c r="D111" s="398"/>
      <c r="E111" s="399"/>
      <c r="F111" s="400"/>
      <c r="G111" s="444"/>
      <c r="H111" s="396"/>
      <c r="I111" s="15"/>
    </row>
    <row r="112" spans="1:9" ht="12.75" customHeight="1">
      <c r="A112" s="395"/>
      <c r="B112" s="396"/>
      <c r="C112" s="397"/>
      <c r="D112" s="398"/>
      <c r="E112" s="399"/>
      <c r="F112" s="400"/>
      <c r="G112" s="444"/>
      <c r="H112" s="396"/>
      <c r="I112" s="15"/>
    </row>
    <row r="113" spans="1:9" ht="12.75" customHeight="1">
      <c r="A113" s="395"/>
      <c r="B113" s="396"/>
      <c r="C113" s="397"/>
      <c r="D113" s="398"/>
      <c r="E113" s="399"/>
      <c r="F113" s="400"/>
      <c r="G113" s="444"/>
      <c r="H113" s="396"/>
      <c r="I113" s="15"/>
    </row>
    <row r="114" spans="1:9" ht="12.75" customHeight="1">
      <c r="A114" s="395"/>
      <c r="B114" s="396"/>
      <c r="C114" s="397"/>
      <c r="D114" s="398"/>
      <c r="E114" s="399"/>
      <c r="F114" s="400"/>
      <c r="G114" s="444"/>
      <c r="H114" s="396"/>
      <c r="I114" s="15"/>
    </row>
    <row r="115" spans="1:9" ht="12.75" customHeight="1">
      <c r="A115" s="395"/>
      <c r="B115" s="396"/>
      <c r="C115" s="397"/>
      <c r="D115" s="398"/>
      <c r="E115" s="399"/>
      <c r="F115" s="400"/>
      <c r="G115" s="444"/>
      <c r="H115" s="396"/>
      <c r="I115" s="15"/>
    </row>
    <row r="116" spans="1:9" ht="12.75" customHeight="1">
      <c r="A116" s="395"/>
      <c r="B116" s="396"/>
      <c r="C116" s="397"/>
      <c r="D116" s="398"/>
      <c r="E116" s="399"/>
      <c r="F116" s="400"/>
      <c r="G116" s="444"/>
      <c r="H116" s="396"/>
      <c r="I116" s="15"/>
    </row>
    <row r="117" spans="1:9" ht="12.75" customHeight="1">
      <c r="A117" s="395"/>
      <c r="B117" s="396"/>
      <c r="C117" s="397"/>
      <c r="D117" s="398"/>
      <c r="E117" s="399"/>
      <c r="F117" s="400"/>
      <c r="G117" s="444"/>
      <c r="H117" s="396"/>
      <c r="I117" s="15"/>
    </row>
    <row r="118" spans="1:9" ht="12.75" customHeight="1">
      <c r="A118" s="395"/>
      <c r="B118" s="396"/>
      <c r="C118" s="397"/>
      <c r="D118" s="398"/>
      <c r="E118" s="397"/>
      <c r="F118" s="400"/>
      <c r="G118" s="444"/>
      <c r="H118" s="396"/>
      <c r="I118" s="15"/>
    </row>
    <row r="119" spans="1:9" ht="12.75" customHeight="1">
      <c r="A119" s="395"/>
      <c r="B119" s="406"/>
      <c r="C119" s="397"/>
      <c r="D119" s="398"/>
      <c r="E119" s="399"/>
      <c r="F119" s="400"/>
      <c r="G119" s="444"/>
      <c r="H119" s="396"/>
      <c r="I119" s="15"/>
    </row>
    <row r="120" spans="1:9" ht="12.75" customHeight="1">
      <c r="A120" s="395"/>
      <c r="B120" s="406"/>
      <c r="C120" s="407"/>
      <c r="D120" s="408"/>
      <c r="E120" s="409"/>
      <c r="F120" s="394"/>
      <c r="G120" s="444"/>
      <c r="H120" s="396"/>
      <c r="I120" s="15"/>
    </row>
    <row r="121" spans="1:9" ht="12.75" customHeight="1">
      <c r="A121" s="395"/>
      <c r="B121" s="406"/>
      <c r="C121" s="407"/>
      <c r="D121" s="408"/>
      <c r="E121" s="409"/>
      <c r="F121" s="394"/>
      <c r="G121" s="444"/>
      <c r="H121" s="396"/>
      <c r="I121" s="15"/>
    </row>
    <row r="122" spans="1:9" ht="12.75" customHeight="1">
      <c r="A122" s="405"/>
      <c r="B122" s="406"/>
      <c r="C122" s="407"/>
      <c r="D122" s="408"/>
      <c r="E122" s="409"/>
      <c r="F122" s="394"/>
      <c r="G122" s="444"/>
      <c r="H122" s="396"/>
      <c r="I122" s="15"/>
    </row>
    <row r="123" spans="1:9" ht="12.75" customHeight="1">
      <c r="A123" s="405"/>
      <c r="B123" s="406"/>
      <c r="C123" s="407"/>
      <c r="D123" s="408"/>
      <c r="E123" s="409"/>
      <c r="F123" s="394"/>
      <c r="G123" s="444"/>
      <c r="H123" s="396"/>
      <c r="I123" s="15"/>
    </row>
    <row r="124" spans="1:9" ht="12.75" customHeight="1">
      <c r="A124" s="395"/>
      <c r="B124" s="396"/>
      <c r="C124" s="397"/>
      <c r="D124" s="398"/>
      <c r="E124" s="399"/>
      <c r="F124" s="400"/>
      <c r="G124" s="444"/>
      <c r="H124" s="396"/>
      <c r="I124" s="15"/>
    </row>
    <row r="125" spans="1:9" ht="12.75" customHeight="1">
      <c r="A125" s="395"/>
      <c r="B125" s="396"/>
      <c r="C125" s="397"/>
      <c r="D125" s="398"/>
      <c r="E125" s="399"/>
      <c r="F125" s="400"/>
      <c r="G125" s="444"/>
      <c r="H125" s="396"/>
      <c r="I125" s="15"/>
    </row>
    <row r="126" spans="1:9" ht="12.75" customHeight="1">
      <c r="A126" s="395"/>
      <c r="B126" s="406"/>
      <c r="C126" s="397"/>
      <c r="D126" s="398"/>
      <c r="E126" s="409"/>
      <c r="F126" s="394"/>
      <c r="G126" s="444"/>
      <c r="H126" s="396"/>
      <c r="I126" s="15"/>
    </row>
    <row r="127" spans="1:9" ht="12.75" customHeight="1">
      <c r="A127" s="395"/>
      <c r="B127" s="406"/>
      <c r="C127" s="407"/>
      <c r="D127" s="408"/>
      <c r="E127" s="409"/>
      <c r="F127" s="394"/>
      <c r="G127" s="444"/>
      <c r="H127" s="396"/>
      <c r="I127" s="15"/>
    </row>
    <row r="128" spans="1:9" ht="12.75" customHeight="1">
      <c r="A128" s="405"/>
      <c r="B128" s="396"/>
      <c r="C128" s="401"/>
      <c r="D128" s="402"/>
      <c r="E128" s="403"/>
      <c r="F128" s="404"/>
      <c r="G128" s="444"/>
      <c r="H128" s="396"/>
      <c r="I128" s="15"/>
    </row>
    <row r="129" spans="1:9" ht="12.75" customHeight="1">
      <c r="A129" s="405"/>
      <c r="B129" s="406"/>
      <c r="C129" s="407"/>
      <c r="D129" s="408"/>
      <c r="E129" s="409"/>
      <c r="F129" s="394"/>
      <c r="G129" s="444"/>
      <c r="H129" s="396"/>
      <c r="I129" s="15"/>
    </row>
    <row r="130" spans="1:9" ht="12.75" customHeight="1">
      <c r="A130" s="395"/>
      <c r="B130" s="406"/>
      <c r="C130" s="397"/>
      <c r="D130" s="398"/>
      <c r="E130" s="399"/>
      <c r="F130" s="400"/>
      <c r="G130" s="444"/>
      <c r="H130" s="399"/>
      <c r="I130" s="15"/>
    </row>
    <row r="131" spans="1:9" ht="12.75" customHeight="1">
      <c r="A131" s="395"/>
      <c r="B131" s="441"/>
      <c r="C131" s="399"/>
      <c r="D131" s="400"/>
      <c r="E131" s="403"/>
      <c r="F131" s="404"/>
      <c r="G131" s="414"/>
      <c r="H131" s="399"/>
      <c r="I131" s="15"/>
    </row>
    <row r="132" spans="1:9" ht="12.75" customHeight="1">
      <c r="A132" s="395"/>
      <c r="B132" s="441"/>
      <c r="C132" s="409"/>
      <c r="D132" s="394"/>
      <c r="E132" s="409"/>
      <c r="F132" s="394"/>
      <c r="G132" s="414"/>
      <c r="H132" s="399"/>
      <c r="I132" s="15"/>
    </row>
    <row r="133" spans="1:9" ht="12.75" customHeight="1">
      <c r="A133" s="405"/>
      <c r="B133" s="441"/>
      <c r="C133" s="409"/>
      <c r="D133" s="394"/>
      <c r="E133" s="451"/>
      <c r="F133" s="425"/>
      <c r="G133" s="396"/>
      <c r="H133" s="414"/>
      <c r="I133" s="15"/>
    </row>
    <row r="134" spans="1:9" ht="12.75" customHeight="1">
      <c r="A134" s="405"/>
      <c r="B134" s="441"/>
      <c r="C134" s="409"/>
      <c r="D134" s="394"/>
      <c r="E134" s="424"/>
      <c r="F134" s="425"/>
      <c r="G134" s="414"/>
      <c r="H134" s="399"/>
      <c r="I134" s="15"/>
    </row>
    <row r="135" spans="1:9" ht="12.75" customHeight="1">
      <c r="A135" s="454"/>
      <c r="B135" s="481"/>
      <c r="C135" s="482"/>
      <c r="D135" s="483"/>
      <c r="E135" s="484"/>
      <c r="F135" s="485"/>
      <c r="G135" s="445"/>
      <c r="H135" s="442"/>
      <c r="I135" s="15"/>
    </row>
    <row r="136" spans="1:9" ht="12.75" customHeight="1">
      <c r="A136" s="454"/>
      <c r="B136" s="443"/>
      <c r="C136" s="482"/>
      <c r="D136" s="483"/>
      <c r="E136" s="452"/>
      <c r="F136" s="453"/>
      <c r="G136" s="446"/>
      <c r="H136" s="447"/>
      <c r="I136" s="15"/>
    </row>
    <row r="137" spans="1:9" ht="12.75" customHeight="1">
      <c r="A137" s="395"/>
      <c r="B137" s="442"/>
      <c r="C137" s="403"/>
      <c r="D137" s="404"/>
      <c r="E137" s="486"/>
      <c r="F137" s="471"/>
      <c r="G137" s="56"/>
      <c r="H137" s="448"/>
      <c r="I137" s="15"/>
    </row>
    <row r="138" spans="1:9" ht="12.75" customHeight="1">
      <c r="A138" s="434"/>
      <c r="B138" s="455"/>
      <c r="C138" s="456"/>
      <c r="D138" s="457"/>
      <c r="E138" s="455"/>
      <c r="F138" s="487"/>
      <c r="G138" s="457"/>
      <c r="H138" s="458"/>
      <c r="I138" s="15"/>
    </row>
    <row r="139" spans="1:9" ht="12.75" customHeight="1">
      <c r="A139" s="434"/>
      <c r="B139" s="462"/>
      <c r="C139" s="492"/>
      <c r="D139" s="460"/>
      <c r="E139" s="493"/>
      <c r="F139" s="461"/>
      <c r="G139" s="449"/>
      <c r="H139" s="450"/>
      <c r="I139" s="15"/>
    </row>
    <row r="140" spans="1:9" ht="12.75" customHeight="1">
      <c r="A140" s="395"/>
      <c r="B140" s="494"/>
      <c r="C140" s="473"/>
      <c r="D140" s="495"/>
      <c r="E140" s="494"/>
      <c r="F140" s="473"/>
      <c r="G140" s="496"/>
      <c r="H140" s="497"/>
      <c r="I140" s="15"/>
    </row>
    <row r="141" spans="1:9" ht="12.75" customHeight="1">
      <c r="A141" s="395"/>
      <c r="B141" s="488"/>
      <c r="C141" s="489"/>
      <c r="D141" s="490"/>
      <c r="E141" s="419"/>
      <c r="F141" s="415"/>
      <c r="G141" s="444"/>
      <c r="H141" s="491"/>
      <c r="I141" s="15"/>
    </row>
    <row r="142" spans="1:9" ht="12.75" customHeight="1">
      <c r="A142" s="395"/>
      <c r="B142" s="406"/>
      <c r="C142" s="463"/>
      <c r="D142" s="408"/>
      <c r="E142" s="409"/>
      <c r="F142" s="424"/>
      <c r="G142" s="459"/>
      <c r="H142" s="472"/>
      <c r="I142" s="15"/>
    </row>
    <row r="143" spans="1:9" ht="12.75" customHeight="1">
      <c r="A143" s="395"/>
      <c r="B143" s="406"/>
      <c r="C143" s="463"/>
      <c r="D143" s="408"/>
      <c r="E143" s="409"/>
      <c r="F143" s="424"/>
      <c r="G143" s="459"/>
      <c r="H143" s="472"/>
      <c r="I143" s="15"/>
    </row>
    <row r="144" spans="1:9" ht="12.75" customHeight="1">
      <c r="A144" s="395"/>
      <c r="B144" s="396"/>
      <c r="C144" s="397"/>
      <c r="D144" s="398"/>
      <c r="E144" s="399"/>
      <c r="F144" s="400"/>
      <c r="G144" s="382"/>
      <c r="H144" s="380"/>
      <c r="I144" s="15"/>
    </row>
    <row r="145" spans="1:9" ht="12.75" customHeight="1">
      <c r="A145" s="395"/>
      <c r="B145" s="396"/>
      <c r="C145" s="397"/>
      <c r="D145" s="398"/>
      <c r="E145" s="399"/>
      <c r="F145" s="400"/>
      <c r="G145" s="382"/>
      <c r="H145" s="380"/>
      <c r="I145" s="15"/>
    </row>
    <row r="146" spans="1:9" ht="12.75" customHeight="1">
      <c r="A146" s="395"/>
      <c r="B146" s="396"/>
      <c r="C146" s="397"/>
      <c r="D146" s="398"/>
      <c r="E146" s="399"/>
      <c r="F146" s="400"/>
      <c r="G146" s="382"/>
      <c r="H146" s="380"/>
      <c r="I146" s="15"/>
    </row>
    <row r="147" spans="1:9" ht="12.75" customHeight="1">
      <c r="A147" s="395"/>
      <c r="B147" s="396"/>
      <c r="C147" s="397"/>
      <c r="D147" s="398"/>
      <c r="E147" s="399"/>
      <c r="F147" s="400"/>
      <c r="G147" s="382"/>
      <c r="H147" s="380"/>
      <c r="I147" s="15"/>
    </row>
    <row r="148" spans="1:9" ht="12.75" customHeight="1">
      <c r="A148" s="395"/>
      <c r="B148" s="396"/>
      <c r="C148" s="397"/>
      <c r="D148" s="398"/>
      <c r="E148" s="399"/>
      <c r="F148" s="400"/>
      <c r="G148" s="382"/>
      <c r="H148" s="380"/>
      <c r="I148" s="15"/>
    </row>
    <row r="149" spans="1:9" ht="12.75" customHeight="1">
      <c r="A149" s="395"/>
      <c r="B149" s="396"/>
      <c r="C149" s="397"/>
      <c r="D149" s="398"/>
      <c r="E149" s="399"/>
      <c r="F149" s="400"/>
      <c r="G149" s="382"/>
      <c r="H149" s="380"/>
      <c r="I149" s="15"/>
    </row>
    <row r="150" spans="1:9" ht="12.75" customHeight="1">
      <c r="A150" s="395"/>
      <c r="B150" s="396"/>
      <c r="C150" s="397"/>
      <c r="D150" s="398"/>
      <c r="E150" s="399"/>
      <c r="F150" s="400"/>
      <c r="G150" s="382"/>
      <c r="H150" s="380"/>
      <c r="I150" s="15"/>
    </row>
    <row r="151" spans="1:9" ht="12.75" customHeight="1">
      <c r="A151" s="395"/>
      <c r="B151" s="396"/>
      <c r="C151" s="397"/>
      <c r="D151" s="398"/>
      <c r="E151" s="399"/>
      <c r="F151" s="400"/>
      <c r="G151" s="382"/>
      <c r="H151" s="380"/>
      <c r="I151" s="15"/>
    </row>
    <row r="152" spans="1:9" ht="12.75" customHeight="1">
      <c r="A152" s="395"/>
      <c r="B152" s="396"/>
      <c r="C152" s="397"/>
      <c r="D152" s="398"/>
      <c r="E152" s="399"/>
      <c r="F152" s="400"/>
      <c r="G152" s="382"/>
      <c r="H152" s="380"/>
      <c r="I152" s="15"/>
    </row>
    <row r="153" spans="1:9" ht="12.75" customHeight="1">
      <c r="A153" s="395"/>
      <c r="B153" s="396"/>
      <c r="C153" s="397"/>
      <c r="D153" s="398"/>
      <c r="E153" s="399"/>
      <c r="F153" s="400"/>
      <c r="G153" s="382"/>
      <c r="H153" s="380"/>
      <c r="I153" s="15"/>
    </row>
    <row r="154" spans="1:9" ht="12.75" customHeight="1">
      <c r="A154" s="395"/>
      <c r="B154" s="396"/>
      <c r="C154" s="397"/>
      <c r="D154" s="398"/>
      <c r="E154" s="399"/>
      <c r="F154" s="400"/>
      <c r="G154" s="382"/>
      <c r="H154" s="380"/>
      <c r="I154" s="15"/>
    </row>
    <row r="155" spans="1:9" ht="12.75" customHeight="1">
      <c r="A155" s="395"/>
      <c r="B155" s="396"/>
      <c r="C155" s="397"/>
      <c r="D155" s="398"/>
      <c r="E155" s="399"/>
      <c r="F155" s="400"/>
      <c r="G155" s="382"/>
      <c r="H155" s="380"/>
      <c r="I155" s="15"/>
    </row>
    <row r="156" spans="1:9" ht="12.75" customHeight="1">
      <c r="A156" s="395"/>
      <c r="B156" s="396"/>
      <c r="C156" s="397"/>
      <c r="D156" s="398"/>
      <c r="E156" s="399"/>
      <c r="F156" s="400"/>
      <c r="G156" s="382"/>
      <c r="H156" s="380"/>
      <c r="I156" s="15"/>
    </row>
    <row r="157" spans="1:9" ht="12.75" customHeight="1">
      <c r="A157" s="395"/>
      <c r="B157" s="396"/>
      <c r="C157" s="397"/>
      <c r="D157" s="398"/>
      <c r="E157" s="399"/>
      <c r="F157" s="400"/>
      <c r="G157" s="382"/>
      <c r="H157" s="380"/>
      <c r="I157" s="15"/>
    </row>
    <row r="158" spans="1:9" ht="12.75" customHeight="1">
      <c r="A158" s="395"/>
      <c r="B158" s="396"/>
      <c r="C158" s="397"/>
      <c r="D158" s="398"/>
      <c r="E158" s="399"/>
      <c r="F158" s="400"/>
      <c r="G158" s="382"/>
      <c r="H158" s="380"/>
      <c r="I158" s="15"/>
    </row>
    <row r="159" spans="1:9" ht="12.75" customHeight="1">
      <c r="A159" s="395"/>
      <c r="B159" s="396"/>
      <c r="C159" s="397"/>
      <c r="D159" s="398"/>
      <c r="E159" s="399"/>
      <c r="F159" s="400"/>
      <c r="G159" s="382"/>
      <c r="H159" s="380"/>
      <c r="I159" s="15"/>
    </row>
    <row r="160" spans="1:9" ht="12.75" customHeight="1">
      <c r="A160" s="395"/>
      <c r="B160" s="396"/>
      <c r="C160" s="397"/>
      <c r="D160" s="398"/>
      <c r="E160" s="399"/>
      <c r="F160" s="400"/>
      <c r="G160" s="382"/>
      <c r="H160" s="380"/>
      <c r="I160" s="15"/>
    </row>
    <row r="161" spans="1:9" ht="12.75" customHeight="1">
      <c r="A161" s="395"/>
      <c r="B161" s="396"/>
      <c r="C161" s="397"/>
      <c r="D161" s="398"/>
      <c r="E161" s="399"/>
      <c r="F161" s="400"/>
      <c r="G161" s="382"/>
      <c r="H161" s="380"/>
      <c r="I161" s="15"/>
    </row>
    <row r="162" spans="1:9" ht="12.75" customHeight="1">
      <c r="A162" s="395"/>
      <c r="B162" s="396"/>
      <c r="C162" s="397"/>
      <c r="D162" s="398"/>
      <c r="E162" s="399"/>
      <c r="F162" s="400"/>
      <c r="G162" s="382"/>
      <c r="H162" s="380"/>
      <c r="I162" s="15"/>
    </row>
    <row r="163" spans="1:9" ht="12.75" customHeight="1">
      <c r="A163" s="395"/>
      <c r="B163" s="396"/>
      <c r="C163" s="397"/>
      <c r="D163" s="398"/>
      <c r="E163" s="399"/>
      <c r="F163" s="400"/>
      <c r="G163" s="382"/>
      <c r="H163" s="380"/>
      <c r="I163" s="15"/>
    </row>
    <row r="164" spans="1:9" ht="12.75" customHeight="1">
      <c r="A164" s="395"/>
      <c r="B164" s="396"/>
      <c r="C164" s="397"/>
      <c r="D164" s="398"/>
      <c r="E164" s="399"/>
      <c r="F164" s="400"/>
      <c r="G164" s="382"/>
      <c r="H164" s="380"/>
      <c r="I164" s="15"/>
    </row>
    <row r="165" spans="1:9" ht="12.75" customHeight="1">
      <c r="A165" s="395"/>
      <c r="B165" s="396"/>
      <c r="C165" s="397"/>
      <c r="D165" s="398"/>
      <c r="E165" s="399"/>
      <c r="F165" s="400"/>
      <c r="G165" s="382"/>
      <c r="H165" s="380"/>
      <c r="I165" s="15"/>
    </row>
    <row r="166" spans="1:9" ht="12.75" customHeight="1">
      <c r="A166" s="395"/>
      <c r="B166" s="396"/>
      <c r="C166" s="397"/>
      <c r="D166" s="398"/>
      <c r="E166" s="399"/>
      <c r="F166" s="400"/>
      <c r="G166" s="382"/>
      <c r="H166" s="380"/>
      <c r="I166" s="15"/>
    </row>
    <row r="167" spans="1:9" ht="12.75" customHeight="1">
      <c r="A167" s="395"/>
      <c r="B167" s="396"/>
      <c r="C167" s="397"/>
      <c r="D167" s="398"/>
      <c r="E167" s="399"/>
      <c r="F167" s="400"/>
      <c r="G167" s="382"/>
      <c r="H167" s="380"/>
      <c r="I167" s="15"/>
    </row>
    <row r="168" spans="1:9" ht="12.75" customHeight="1">
      <c r="A168" s="395"/>
      <c r="B168" s="396"/>
      <c r="C168" s="397"/>
      <c r="D168" s="398"/>
      <c r="E168" s="399"/>
      <c r="F168" s="400"/>
      <c r="G168" s="382"/>
      <c r="H168" s="380"/>
      <c r="I168" s="15"/>
    </row>
    <row r="169" spans="1:9" ht="12.75" customHeight="1">
      <c r="A169" s="395"/>
      <c r="B169" s="396"/>
      <c r="C169" s="397"/>
      <c r="D169" s="398"/>
      <c r="E169" s="399"/>
      <c r="F169" s="400"/>
      <c r="G169" s="382"/>
      <c r="H169" s="380"/>
      <c r="I169" s="15"/>
    </row>
    <row r="170" spans="1:9" ht="12.75" customHeight="1">
      <c r="A170" s="395"/>
      <c r="B170" s="396"/>
      <c r="C170" s="397"/>
      <c r="D170" s="398"/>
      <c r="E170" s="399"/>
      <c r="F170" s="400"/>
      <c r="G170" s="382"/>
      <c r="H170" s="380"/>
      <c r="I170" s="15"/>
    </row>
    <row r="171" spans="1:9" ht="12.75" customHeight="1">
      <c r="A171" s="395"/>
      <c r="B171" s="396"/>
      <c r="C171" s="397"/>
      <c r="D171" s="398"/>
      <c r="E171" s="399"/>
      <c r="F171" s="400"/>
      <c r="G171" s="382"/>
      <c r="H171" s="380"/>
      <c r="I171" s="15"/>
    </row>
    <row r="172" spans="1:9" ht="12.75" customHeight="1">
      <c r="A172" s="395"/>
      <c r="B172" s="396"/>
      <c r="C172" s="397"/>
      <c r="D172" s="398"/>
      <c r="E172" s="399"/>
      <c r="F172" s="400"/>
      <c r="G172" s="382"/>
      <c r="H172" s="380"/>
      <c r="I172" s="15"/>
    </row>
    <row r="173" spans="1:9" ht="12.75" customHeight="1">
      <c r="A173" s="395"/>
      <c r="B173" s="396"/>
      <c r="C173" s="397"/>
      <c r="D173" s="398"/>
      <c r="E173" s="399"/>
      <c r="F173" s="400"/>
      <c r="G173" s="382"/>
      <c r="H173" s="380"/>
      <c r="I173" s="15"/>
    </row>
    <row r="174" spans="1:9" ht="12.75" customHeight="1">
      <c r="A174" s="395"/>
      <c r="B174" s="396"/>
      <c r="C174" s="397"/>
      <c r="D174" s="398"/>
      <c r="E174" s="399"/>
      <c r="F174" s="400"/>
      <c r="G174" s="382"/>
      <c r="H174" s="380"/>
      <c r="I174" s="15"/>
    </row>
    <row r="175" spans="1:9" ht="12.75" customHeight="1">
      <c r="A175" s="395"/>
      <c r="B175" s="396"/>
      <c r="C175" s="397"/>
      <c r="D175" s="398"/>
      <c r="E175" s="399"/>
      <c r="F175" s="400"/>
      <c r="G175" s="382"/>
      <c r="H175" s="380"/>
      <c r="I175" s="15"/>
    </row>
    <row r="176" spans="1:9" ht="12.75" customHeight="1">
      <c r="A176" s="395"/>
      <c r="B176" s="396"/>
      <c r="C176" s="397"/>
      <c r="D176" s="398"/>
      <c r="E176" s="399"/>
      <c r="F176" s="400"/>
      <c r="G176" s="382"/>
      <c r="H176" s="380"/>
      <c r="I176" s="15"/>
    </row>
    <row r="177" spans="1:9" ht="12.75" customHeight="1">
      <c r="A177" s="395"/>
      <c r="B177" s="396"/>
      <c r="C177" s="397"/>
      <c r="D177" s="398"/>
      <c r="E177" s="399"/>
      <c r="F177" s="400"/>
      <c r="G177" s="382"/>
      <c r="H177" s="380"/>
      <c r="I177" s="15"/>
    </row>
    <row r="178" spans="1:9" ht="12.75" customHeight="1">
      <c r="A178" s="395"/>
      <c r="B178" s="396"/>
      <c r="C178" s="397"/>
      <c r="D178" s="398"/>
      <c r="E178" s="399"/>
      <c r="F178" s="400"/>
      <c r="G178" s="382"/>
      <c r="H178" s="380"/>
      <c r="I178" s="15"/>
    </row>
    <row r="179" spans="1:9" ht="12.75" customHeight="1">
      <c r="A179" s="395"/>
      <c r="B179" s="396"/>
      <c r="C179" s="397"/>
      <c r="D179" s="398"/>
      <c r="E179" s="399"/>
      <c r="F179" s="400"/>
      <c r="G179" s="382"/>
      <c r="H179" s="380"/>
      <c r="I179" s="15"/>
    </row>
    <row r="180" spans="1:9" ht="12.75" customHeight="1">
      <c r="A180" s="395"/>
      <c r="B180" s="396"/>
      <c r="C180" s="401"/>
      <c r="D180" s="402"/>
      <c r="E180" s="403"/>
      <c r="F180" s="404"/>
      <c r="G180" s="382"/>
      <c r="H180" s="380"/>
      <c r="I180" s="15"/>
    </row>
    <row r="181" spans="1:9" ht="12.75" customHeight="1">
      <c r="A181" s="395"/>
      <c r="B181" s="396"/>
      <c r="C181" s="401"/>
      <c r="D181" s="402"/>
      <c r="E181" s="401"/>
      <c r="F181" s="404"/>
      <c r="G181" s="382"/>
      <c r="H181" s="380"/>
      <c r="I181" s="15"/>
    </row>
    <row r="182" spans="1:9" ht="12.75" customHeight="1">
      <c r="A182" s="405"/>
      <c r="B182" s="406"/>
      <c r="C182" s="407"/>
      <c r="D182" s="408"/>
      <c r="E182" s="409"/>
      <c r="F182" s="394"/>
      <c r="G182" s="382"/>
      <c r="H182" s="380"/>
      <c r="I182" s="15"/>
    </row>
    <row r="183" spans="1:9" ht="12.75" customHeight="1">
      <c r="A183" s="395"/>
      <c r="B183" s="396"/>
      <c r="C183" s="397"/>
      <c r="D183" s="398"/>
      <c r="E183" s="399"/>
      <c r="F183" s="400"/>
      <c r="G183" s="382"/>
      <c r="H183" s="380"/>
      <c r="I183" s="15"/>
    </row>
    <row r="184" spans="1:9" ht="12.75" customHeight="1">
      <c r="A184" s="395"/>
      <c r="B184" s="396"/>
      <c r="C184" s="397"/>
      <c r="D184" s="398"/>
      <c r="E184" s="399"/>
      <c r="F184" s="400"/>
      <c r="G184" s="382"/>
      <c r="H184" s="380"/>
      <c r="I184" s="15"/>
    </row>
    <row r="185" spans="1:9" ht="12.75" customHeight="1">
      <c r="A185" s="395"/>
      <c r="B185" s="396"/>
      <c r="C185" s="397"/>
      <c r="D185" s="398"/>
      <c r="E185" s="403"/>
      <c r="F185" s="404"/>
      <c r="G185" s="382"/>
      <c r="H185" s="380"/>
      <c r="I185" s="15"/>
    </row>
    <row r="186" spans="1:9" ht="12.75" customHeight="1">
      <c r="A186" s="395"/>
      <c r="B186" s="396"/>
      <c r="C186" s="401"/>
      <c r="D186" s="402"/>
      <c r="E186" s="403"/>
      <c r="F186" s="404"/>
      <c r="G186" s="382"/>
      <c r="H186" s="380"/>
      <c r="I186" s="15"/>
    </row>
    <row r="187" spans="1:9" ht="12.75" customHeight="1">
      <c r="A187" s="395"/>
      <c r="B187" s="396"/>
      <c r="C187" s="401"/>
      <c r="D187" s="402"/>
      <c r="E187" s="403"/>
      <c r="F187" s="404"/>
      <c r="G187" s="382"/>
      <c r="H187" s="380"/>
      <c r="I187" s="15"/>
    </row>
    <row r="188" spans="1:9" ht="12.75" customHeight="1">
      <c r="A188" s="395"/>
      <c r="B188" s="396"/>
      <c r="C188" s="407"/>
      <c r="D188" s="408"/>
      <c r="E188" s="409"/>
      <c r="F188" s="394"/>
      <c r="G188" s="382"/>
      <c r="H188" s="380"/>
      <c r="I188" s="15"/>
    </row>
    <row r="189" spans="1:9" ht="12.75" customHeight="1">
      <c r="A189" s="395"/>
      <c r="B189" s="396"/>
      <c r="C189" s="397"/>
      <c r="D189" s="398"/>
      <c r="E189" s="399"/>
      <c r="F189" s="400"/>
      <c r="G189" s="382"/>
      <c r="H189" s="380"/>
      <c r="I189" s="15"/>
    </row>
    <row r="190" spans="1:9" ht="12.75" customHeight="1">
      <c r="A190" s="395"/>
      <c r="B190" s="396"/>
      <c r="C190" s="397"/>
      <c r="D190" s="398"/>
      <c r="E190" s="403"/>
      <c r="F190" s="404"/>
      <c r="G190" s="382"/>
      <c r="H190" s="380"/>
      <c r="I190" s="15"/>
    </row>
    <row r="191" spans="1:9" ht="12.75" customHeight="1">
      <c r="A191" s="395"/>
      <c r="B191" s="396"/>
      <c r="C191" s="401"/>
      <c r="D191" s="402"/>
      <c r="E191" s="403"/>
      <c r="F191" s="404"/>
      <c r="G191" s="382"/>
      <c r="H191" s="380"/>
      <c r="I191" s="15"/>
    </row>
    <row r="192" spans="1:9" ht="12.75" customHeight="1">
      <c r="A192" s="395"/>
      <c r="B192" s="396"/>
      <c r="C192" s="401"/>
      <c r="D192" s="402"/>
      <c r="E192" s="410"/>
      <c r="F192" s="411"/>
      <c r="G192" s="382"/>
      <c r="H192" s="380"/>
      <c r="I192" s="15"/>
    </row>
    <row r="193" spans="1:9" ht="12.75" customHeight="1">
      <c r="A193" s="405"/>
      <c r="B193" s="406"/>
      <c r="C193" s="407"/>
      <c r="D193" s="408"/>
      <c r="E193" s="409"/>
      <c r="F193" s="394"/>
      <c r="G193" s="412"/>
      <c r="H193" s="413"/>
      <c r="I193" s="15"/>
    </row>
    <row r="194" spans="1:9" ht="12.75" customHeight="1">
      <c r="A194" s="395"/>
      <c r="B194" s="414"/>
      <c r="C194" s="399"/>
      <c r="D194" s="400"/>
      <c r="E194" s="415"/>
      <c r="F194" s="416"/>
      <c r="G194" s="417"/>
      <c r="H194" s="413"/>
      <c r="I194" s="15"/>
    </row>
    <row r="195" spans="1:9" ht="12.75" customHeight="1">
      <c r="A195" s="395"/>
      <c r="B195" s="414"/>
      <c r="C195" s="399"/>
      <c r="D195" s="400"/>
      <c r="E195" s="410"/>
      <c r="F195" s="411"/>
      <c r="G195" s="417"/>
      <c r="H195" s="413"/>
      <c r="I195" s="15"/>
    </row>
    <row r="196" spans="1:9" ht="12.75" customHeight="1">
      <c r="A196" s="395"/>
      <c r="B196" s="414"/>
      <c r="C196" s="403"/>
      <c r="D196" s="404"/>
      <c r="E196" s="418"/>
      <c r="F196" s="404"/>
      <c r="G196" s="41"/>
      <c r="H196" s="414"/>
      <c r="I196" s="15"/>
    </row>
    <row r="197" spans="1:9" ht="12.75" customHeight="1">
      <c r="A197" s="395"/>
      <c r="B197" s="414"/>
      <c r="C197" s="403"/>
      <c r="D197" s="404"/>
      <c r="E197" s="410"/>
      <c r="F197" s="404"/>
      <c r="G197" s="417"/>
      <c r="H197" s="413"/>
      <c r="I197" s="15"/>
    </row>
    <row r="198" spans="1:9" ht="12.75" customHeight="1">
      <c r="A198" s="395"/>
      <c r="B198" s="419"/>
      <c r="C198" s="410"/>
      <c r="D198" s="416"/>
      <c r="E198" s="420"/>
      <c r="F198" s="415"/>
      <c r="G198" s="421"/>
      <c r="H198" s="422"/>
      <c r="I198" s="15"/>
    </row>
    <row r="199" spans="1:9" ht="12.75" customHeight="1">
      <c r="A199" s="405"/>
      <c r="B199" s="423"/>
      <c r="C199" s="424"/>
      <c r="D199" s="425"/>
      <c r="E199" s="423"/>
      <c r="F199" s="424"/>
      <c r="G199" s="426"/>
      <c r="H199" s="427"/>
      <c r="I199" s="15"/>
    </row>
    <row r="200" spans="1:9" ht="12.75" customHeight="1">
      <c r="A200" s="389"/>
      <c r="B200" s="428"/>
      <c r="C200" s="429"/>
      <c r="D200" s="416"/>
      <c r="E200" s="430"/>
      <c r="F200" s="431"/>
      <c r="G200" s="432"/>
      <c r="H200" s="433"/>
      <c r="I200" s="434"/>
    </row>
    <row r="201" spans="1:9" ht="12.75" customHeight="1">
      <c r="A201" s="435"/>
      <c r="B201" s="436"/>
      <c r="C201" s="437"/>
      <c r="D201" s="438"/>
      <c r="E201" s="437"/>
      <c r="F201" s="438"/>
      <c r="G201" s="438"/>
      <c r="H201" s="439"/>
      <c r="I201" s="440"/>
    </row>
    <row r="202" spans="1:9" ht="12.75" customHeight="1">
      <c r="A202" s="435"/>
      <c r="B202" s="436"/>
      <c r="C202" s="437"/>
      <c r="D202" s="438"/>
      <c r="E202" s="437"/>
      <c r="F202" s="438"/>
      <c r="G202" s="438"/>
      <c r="H202" s="439"/>
      <c r="I202" s="440"/>
    </row>
    <row r="203" ht="12.75" customHeight="1">
      <c r="I203" s="377"/>
    </row>
    <row r="204" ht="12.75" customHeight="1">
      <c r="I204" s="377"/>
    </row>
  </sheetData>
  <sheetProtection/>
  <mergeCells count="1">
    <mergeCell ref="C7:D7"/>
  </mergeCells>
  <printOptions/>
  <pageMargins left="0.67" right="0.2" top="0.25" bottom="0.25" header="0.34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"/>
    </sheetView>
  </sheetViews>
  <sheetFormatPr defaultColWidth="9.140625" defaultRowHeight="18" customHeight="1"/>
  <cols>
    <col min="1" max="1" width="20.140625" style="378" customWidth="1"/>
    <col min="2" max="2" width="9.140625" style="378" customWidth="1"/>
    <col min="3" max="3" width="11.28125" style="378" customWidth="1"/>
    <col min="4" max="4" width="12.28125" style="378" customWidth="1"/>
    <col min="5" max="5" width="15.8515625" style="378" customWidth="1"/>
    <col min="6" max="6" width="13.7109375" style="378" customWidth="1"/>
    <col min="7" max="16384" width="9.140625" style="378" customWidth="1"/>
  </cols>
  <sheetData>
    <row r="1" spans="1:8" ht="15.75" customHeight="1">
      <c r="A1" s="714" t="s">
        <v>1774</v>
      </c>
      <c r="B1" s="715"/>
      <c r="C1" s="715"/>
      <c r="D1" s="715"/>
      <c r="E1" s="715"/>
      <c r="F1" s="715"/>
      <c r="G1" s="2"/>
      <c r="H1" s="2"/>
    </row>
    <row r="2" spans="1:8" ht="15.75" customHeight="1">
      <c r="A2" s="714" t="s">
        <v>1775</v>
      </c>
      <c r="B2" s="715"/>
      <c r="C2" s="715"/>
      <c r="D2" s="715"/>
      <c r="E2" s="715"/>
      <c r="F2" s="715"/>
      <c r="G2" s="2"/>
      <c r="H2" s="2"/>
    </row>
    <row r="3" spans="1:8" ht="15.75" customHeight="1">
      <c r="A3" s="716"/>
      <c r="B3" s="715"/>
      <c r="C3" s="715"/>
      <c r="D3" s="715"/>
      <c r="E3" s="715"/>
      <c r="F3" s="715"/>
      <c r="G3" s="2"/>
      <c r="H3" s="2"/>
    </row>
    <row r="4" spans="1:8" ht="15.75" customHeight="1">
      <c r="A4" s="857" t="s">
        <v>5</v>
      </c>
      <c r="B4" s="857"/>
      <c r="C4" s="715"/>
      <c r="D4" s="715"/>
      <c r="E4" s="715"/>
      <c r="F4" s="715"/>
      <c r="G4" s="2"/>
      <c r="H4" s="2"/>
    </row>
    <row r="5" spans="1:8" ht="15.75" customHeight="1">
      <c r="A5" s="857" t="s">
        <v>6</v>
      </c>
      <c r="B5" s="857"/>
      <c r="C5" s="857"/>
      <c r="D5" s="718"/>
      <c r="E5" s="715"/>
      <c r="F5" s="715"/>
      <c r="G5" s="2"/>
      <c r="H5" s="2"/>
    </row>
    <row r="6" spans="1:8" ht="15.75" customHeight="1">
      <c r="A6" s="857" t="s">
        <v>7</v>
      </c>
      <c r="B6" s="857"/>
      <c r="C6" s="857"/>
      <c r="D6" s="719"/>
      <c r="E6" s="719"/>
      <c r="F6" s="715"/>
      <c r="G6" s="2"/>
      <c r="H6" s="2"/>
    </row>
    <row r="7" spans="1:8" ht="15.75" customHeight="1">
      <c r="A7" s="719" t="s">
        <v>276</v>
      </c>
      <c r="B7" s="715"/>
      <c r="C7" s="715"/>
      <c r="D7" s="715"/>
      <c r="E7" s="715"/>
      <c r="F7" s="715"/>
      <c r="G7" s="2"/>
      <c r="H7" s="2"/>
    </row>
    <row r="8" spans="1:8" ht="15.75" customHeight="1">
      <c r="A8" s="717"/>
      <c r="B8" s="720" t="s">
        <v>1800</v>
      </c>
      <c r="C8" s="41"/>
      <c r="D8" s="717"/>
      <c r="E8" s="717"/>
      <c r="F8" s="717"/>
      <c r="G8" s="2"/>
      <c r="H8" s="2"/>
    </row>
    <row r="9" spans="1:8" ht="15.75" customHeight="1">
      <c r="A9" s="715" t="s">
        <v>8</v>
      </c>
      <c r="B9" s="715"/>
      <c r="C9" s="715"/>
      <c r="D9" s="715"/>
      <c r="E9" s="715"/>
      <c r="F9" s="715"/>
      <c r="G9" s="2"/>
      <c r="H9" s="2"/>
    </row>
    <row r="10" spans="1:8" ht="15.75" customHeight="1">
      <c r="A10" s="717" t="s">
        <v>9</v>
      </c>
      <c r="B10" s="717"/>
      <c r="C10" s="717"/>
      <c r="D10" s="717"/>
      <c r="E10" s="717"/>
      <c r="F10" s="717"/>
      <c r="G10" s="2"/>
      <c r="H10" s="2"/>
    </row>
    <row r="11" spans="1:8" ht="15.75" customHeight="1">
      <c r="A11" s="717"/>
      <c r="B11" s="717"/>
      <c r="C11" s="717"/>
      <c r="D11" s="717"/>
      <c r="E11" s="717"/>
      <c r="F11" s="717"/>
      <c r="G11" s="2"/>
      <c r="H11" s="2"/>
    </row>
    <row r="12" spans="1:8" ht="15.75" customHeight="1">
      <c r="A12" s="720" t="s">
        <v>36</v>
      </c>
      <c r="B12" s="721"/>
      <c r="C12" s="721" t="s">
        <v>10</v>
      </c>
      <c r="D12" s="721" t="s">
        <v>0</v>
      </c>
      <c r="E12" s="721" t="s">
        <v>34</v>
      </c>
      <c r="F12" s="721" t="s">
        <v>1</v>
      </c>
      <c r="G12" s="2"/>
      <c r="H12" s="2"/>
    </row>
    <row r="13" spans="1:8" ht="15.75" customHeight="1">
      <c r="A13" s="715" t="s">
        <v>11</v>
      </c>
      <c r="B13" s="722" t="s">
        <v>12</v>
      </c>
      <c r="C13" s="723">
        <v>2621</v>
      </c>
      <c r="D13" s="724">
        <v>130422.5</v>
      </c>
      <c r="E13" s="725">
        <v>10525393</v>
      </c>
      <c r="F13" s="726">
        <f>E13/D13</f>
        <v>80.70227913128487</v>
      </c>
      <c r="G13" s="2"/>
      <c r="H13" s="2"/>
    </row>
    <row r="14" spans="1:8" ht="15.75" customHeight="1">
      <c r="A14" s="715" t="s">
        <v>13</v>
      </c>
      <c r="B14" s="722" t="s">
        <v>12</v>
      </c>
      <c r="C14" s="727">
        <v>550</v>
      </c>
      <c r="D14" s="728">
        <v>27414.6</v>
      </c>
      <c r="E14" s="729">
        <v>2636004.4</v>
      </c>
      <c r="F14" s="726">
        <f>E14/D14</f>
        <v>96.15330517315591</v>
      </c>
      <c r="G14" s="2"/>
      <c r="H14" s="2"/>
    </row>
    <row r="15" spans="1:8" ht="15.75" customHeight="1">
      <c r="A15" s="715" t="s">
        <v>14</v>
      </c>
      <c r="B15" s="722"/>
      <c r="C15" s="730">
        <f>C13+C14</f>
        <v>3171</v>
      </c>
      <c r="D15" s="731">
        <f>D13+D14</f>
        <v>157837.1</v>
      </c>
      <c r="E15" s="732">
        <f>E13+E14</f>
        <v>13161397.4</v>
      </c>
      <c r="F15" s="733">
        <f>E15/D15</f>
        <v>83.3859555199633</v>
      </c>
      <c r="G15" s="2"/>
      <c r="H15" s="2"/>
    </row>
    <row r="16" spans="1:8" ht="15.75" customHeight="1">
      <c r="A16" s="715"/>
      <c r="B16" s="722"/>
      <c r="C16" s="734"/>
      <c r="D16" s="735"/>
      <c r="E16" s="736"/>
      <c r="F16" s="737"/>
      <c r="G16" s="2"/>
      <c r="H16" s="2"/>
    </row>
    <row r="17" spans="1:8" ht="15.75" customHeight="1">
      <c r="A17" s="720" t="s">
        <v>15</v>
      </c>
      <c r="B17" s="721"/>
      <c r="C17" s="721" t="s">
        <v>10</v>
      </c>
      <c r="D17" s="738" t="s">
        <v>0</v>
      </c>
      <c r="E17" s="721" t="s">
        <v>34</v>
      </c>
      <c r="F17" s="739" t="s">
        <v>1</v>
      </c>
      <c r="G17" s="2"/>
      <c r="H17" s="2"/>
    </row>
    <row r="18" spans="1:8" ht="15.75" customHeight="1">
      <c r="A18" s="715" t="s">
        <v>11</v>
      </c>
      <c r="B18" s="722" t="s">
        <v>16</v>
      </c>
      <c r="C18" s="727">
        <v>0</v>
      </c>
      <c r="D18" s="728">
        <v>0</v>
      </c>
      <c r="E18" s="729">
        <v>0</v>
      </c>
      <c r="F18" s="740" t="e">
        <f>E18/D18</f>
        <v>#DIV/0!</v>
      </c>
      <c r="G18" s="2"/>
      <c r="H18" s="2"/>
    </row>
    <row r="19" spans="1:8" ht="15.75" customHeight="1">
      <c r="A19" s="715" t="s">
        <v>14</v>
      </c>
      <c r="B19" s="722"/>
      <c r="C19" s="741">
        <f>SUM(C18)</f>
        <v>0</v>
      </c>
      <c r="D19" s="728">
        <f>SUM(D18)</f>
        <v>0</v>
      </c>
      <c r="E19" s="742">
        <f>SUM(E18)</f>
        <v>0</v>
      </c>
      <c r="F19" s="740" t="e">
        <f>E19/D19</f>
        <v>#DIV/0!</v>
      </c>
      <c r="G19" s="2"/>
      <c r="H19" s="2"/>
    </row>
    <row r="20" spans="1:8" ht="15.75" customHeight="1">
      <c r="A20" s="715" t="s">
        <v>32</v>
      </c>
      <c r="B20" s="722"/>
      <c r="C20" s="743">
        <f>C19+C15</f>
        <v>3171</v>
      </c>
      <c r="D20" s="731">
        <f>D19+D15</f>
        <v>157837.1</v>
      </c>
      <c r="E20" s="744">
        <f>E19+E15</f>
        <v>13161397.4</v>
      </c>
      <c r="F20" s="733">
        <f>E20/D20</f>
        <v>83.3859555199633</v>
      </c>
      <c r="G20" s="2"/>
      <c r="H20" s="2"/>
    </row>
    <row r="21" spans="1:8" ht="15.75" customHeight="1">
      <c r="A21" s="715"/>
      <c r="B21" s="722"/>
      <c r="C21" s="745"/>
      <c r="D21" s="735"/>
      <c r="E21" s="736"/>
      <c r="F21" s="737"/>
      <c r="G21" s="2"/>
      <c r="H21" s="2"/>
    </row>
    <row r="22" spans="1:8" ht="15.75" customHeight="1">
      <c r="A22" s="720" t="s">
        <v>37</v>
      </c>
      <c r="B22" s="721"/>
      <c r="C22" s="721" t="s">
        <v>10</v>
      </c>
      <c r="D22" s="738" t="s">
        <v>0</v>
      </c>
      <c r="E22" s="721" t="s">
        <v>34</v>
      </c>
      <c r="F22" s="739" t="s">
        <v>1</v>
      </c>
      <c r="G22" s="2"/>
      <c r="H22" s="2"/>
    </row>
    <row r="23" spans="1:8" ht="15.75" customHeight="1">
      <c r="A23" s="715" t="s">
        <v>11</v>
      </c>
      <c r="B23" s="722" t="s">
        <v>12</v>
      </c>
      <c r="C23" s="746">
        <v>0</v>
      </c>
      <c r="D23" s="724">
        <v>0</v>
      </c>
      <c r="E23" s="725">
        <v>0</v>
      </c>
      <c r="F23" s="726" t="e">
        <f>E23/D23</f>
        <v>#DIV/0!</v>
      </c>
      <c r="G23" s="2"/>
      <c r="H23" s="2"/>
    </row>
    <row r="24" spans="1:8" ht="15.75" customHeight="1">
      <c r="A24" s="715" t="s">
        <v>13</v>
      </c>
      <c r="B24" s="722" t="s">
        <v>12</v>
      </c>
      <c r="C24" s="747"/>
      <c r="D24" s="728"/>
      <c r="E24" s="729"/>
      <c r="F24" s="740" t="e">
        <f>E24/D24</f>
        <v>#DIV/0!</v>
      </c>
      <c r="G24" s="2"/>
      <c r="H24" s="2"/>
    </row>
    <row r="25" spans="1:8" ht="15.75" customHeight="1">
      <c r="A25" s="715" t="s">
        <v>14</v>
      </c>
      <c r="B25" s="722"/>
      <c r="C25" s="748">
        <f>C23+C24</f>
        <v>0</v>
      </c>
      <c r="D25" s="728">
        <f>D23+D24</f>
        <v>0</v>
      </c>
      <c r="E25" s="729">
        <f>E23+E24</f>
        <v>0</v>
      </c>
      <c r="F25" s="740" t="e">
        <f>E25/D25</f>
        <v>#DIV/0!</v>
      </c>
      <c r="G25" s="2"/>
      <c r="H25" s="2"/>
    </row>
    <row r="26" spans="1:8" ht="15.75" customHeight="1">
      <c r="A26" s="715"/>
      <c r="B26" s="722"/>
      <c r="C26" s="745"/>
      <c r="D26" s="735"/>
      <c r="E26" s="736"/>
      <c r="F26" s="737"/>
      <c r="G26" s="2"/>
      <c r="H26" s="2"/>
    </row>
    <row r="27" spans="1:8" ht="15.75" customHeight="1">
      <c r="A27" s="719" t="s">
        <v>38</v>
      </c>
      <c r="B27" s="749"/>
      <c r="C27" s="749" t="s">
        <v>10</v>
      </c>
      <c r="D27" s="750" t="s">
        <v>0</v>
      </c>
      <c r="E27" s="749" t="s">
        <v>34</v>
      </c>
      <c r="F27" s="751" t="s">
        <v>1</v>
      </c>
      <c r="G27" s="2"/>
      <c r="H27" s="2"/>
    </row>
    <row r="28" spans="1:8" ht="15.75" customHeight="1">
      <c r="A28" s="715" t="s">
        <v>11</v>
      </c>
      <c r="B28" s="722" t="s">
        <v>12</v>
      </c>
      <c r="C28" s="752"/>
      <c r="D28" s="735"/>
      <c r="E28" s="736"/>
      <c r="F28" s="737" t="e">
        <f>E28/D28</f>
        <v>#DIV/0!</v>
      </c>
      <c r="G28" s="2"/>
      <c r="H28" s="2"/>
    </row>
    <row r="29" spans="1:8" ht="15.75" customHeight="1">
      <c r="A29" s="715" t="s">
        <v>13</v>
      </c>
      <c r="B29" s="722" t="s">
        <v>12</v>
      </c>
      <c r="C29" s="752"/>
      <c r="D29" s="735"/>
      <c r="E29" s="736"/>
      <c r="F29" s="737" t="e">
        <f>E29/D29</f>
        <v>#DIV/0!</v>
      </c>
      <c r="G29" s="2"/>
      <c r="H29" s="2"/>
    </row>
    <row r="30" spans="1:8" ht="15.75" customHeight="1">
      <c r="A30" s="715" t="s">
        <v>14</v>
      </c>
      <c r="B30" s="722"/>
      <c r="C30" s="745">
        <f>C28+C29</f>
        <v>0</v>
      </c>
      <c r="D30" s="735">
        <f>D28+D29</f>
        <v>0</v>
      </c>
      <c r="E30" s="753">
        <f>E28+E29</f>
        <v>0</v>
      </c>
      <c r="F30" s="737" t="e">
        <f>E30/D30</f>
        <v>#DIV/0!</v>
      </c>
      <c r="G30" s="2"/>
      <c r="H30" s="2"/>
    </row>
    <row r="31" spans="1:8" ht="15.75" customHeight="1">
      <c r="A31" s="715"/>
      <c r="B31" s="722"/>
      <c r="C31" s="745"/>
      <c r="D31" s="735"/>
      <c r="E31" s="753"/>
      <c r="F31" s="737"/>
      <c r="G31" s="2"/>
      <c r="H31" s="2"/>
    </row>
    <row r="32" spans="1:8" ht="15.75" customHeight="1">
      <c r="A32" s="715" t="s">
        <v>29</v>
      </c>
      <c r="B32" s="722" t="s">
        <v>16</v>
      </c>
      <c r="C32" s="752"/>
      <c r="D32" s="735"/>
      <c r="E32" s="736"/>
      <c r="F32" s="737"/>
      <c r="G32" s="2"/>
      <c r="H32" s="2"/>
    </row>
    <row r="33" spans="1:8" ht="15.75" customHeight="1">
      <c r="A33" s="715" t="s">
        <v>14</v>
      </c>
      <c r="B33" s="722"/>
      <c r="C33" s="748">
        <f>C28+C29+C32</f>
        <v>0</v>
      </c>
      <c r="D33" s="728">
        <f>D28+D29+D32</f>
        <v>0</v>
      </c>
      <c r="E33" s="742">
        <f>E28+E29+E32</f>
        <v>0</v>
      </c>
      <c r="F33" s="726" t="e">
        <f>E33/D33</f>
        <v>#DIV/0!</v>
      </c>
      <c r="G33" s="2"/>
      <c r="H33" s="2"/>
    </row>
    <row r="34" spans="1:8" ht="15.75" customHeight="1">
      <c r="A34" s="715" t="s">
        <v>17</v>
      </c>
      <c r="B34" s="722"/>
      <c r="C34" s="743">
        <f>C33+C15+C19+C25</f>
        <v>3171</v>
      </c>
      <c r="D34" s="731">
        <f>D33+D15+D19+D25</f>
        <v>157837.1</v>
      </c>
      <c r="E34" s="744">
        <f>E15+E19+E25+E30+E32</f>
        <v>13161397.4</v>
      </c>
      <c r="F34" s="733">
        <f>E34/D34</f>
        <v>83.3859555199633</v>
      </c>
      <c r="G34" s="2"/>
      <c r="H34" s="2"/>
    </row>
    <row r="35" spans="1:8" ht="15.75" customHeight="1">
      <c r="A35" s="715"/>
      <c r="B35" s="722"/>
      <c r="C35" s="745"/>
      <c r="D35" s="754"/>
      <c r="E35" s="755"/>
      <c r="F35" s="756"/>
      <c r="G35" s="2"/>
      <c r="H35" s="2"/>
    </row>
    <row r="36" spans="1:8" ht="15.75" customHeight="1">
      <c r="A36" s="719"/>
      <c r="B36" s="749"/>
      <c r="C36" s="757"/>
      <c r="D36" s="758" t="s">
        <v>1801</v>
      </c>
      <c r="E36" s="759"/>
      <c r="F36" s="760"/>
      <c r="G36" s="2"/>
      <c r="H36" s="2"/>
    </row>
    <row r="37" spans="1:8" ht="15.75" customHeight="1">
      <c r="A37" s="719" t="s">
        <v>18</v>
      </c>
      <c r="B37" s="719"/>
      <c r="C37" s="749" t="s">
        <v>10</v>
      </c>
      <c r="D37" s="749" t="s">
        <v>0</v>
      </c>
      <c r="E37" s="761" t="s">
        <v>1</v>
      </c>
      <c r="F37" s="761" t="s">
        <v>2</v>
      </c>
      <c r="G37" s="2"/>
      <c r="H37" s="2"/>
    </row>
    <row r="38" spans="1:8" ht="15.75" customHeight="1">
      <c r="A38" s="718" t="s">
        <v>19</v>
      </c>
      <c r="B38" s="715"/>
      <c r="C38" s="762"/>
      <c r="D38" s="763"/>
      <c r="E38" s="764"/>
      <c r="F38" s="765">
        <f>D38/D40</f>
        <v>0</v>
      </c>
      <c r="G38" s="2"/>
      <c r="H38" s="2"/>
    </row>
    <row r="39" spans="1:8" ht="15.75" customHeight="1">
      <c r="A39" s="718" t="s">
        <v>30</v>
      </c>
      <c r="B39" s="715"/>
      <c r="C39" s="766">
        <v>3171</v>
      </c>
      <c r="D39" s="767">
        <v>157837.1</v>
      </c>
      <c r="E39" s="768">
        <v>83.39</v>
      </c>
      <c r="F39" s="769">
        <f>D39/D40</f>
        <v>1</v>
      </c>
      <c r="G39" s="2"/>
      <c r="H39" s="2"/>
    </row>
    <row r="40" spans="1:8" ht="18.75" customHeight="1">
      <c r="A40" s="770" t="s">
        <v>20</v>
      </c>
      <c r="B40" s="771"/>
      <c r="C40" s="772">
        <f>SUM(C38:C39)</f>
        <v>3171</v>
      </c>
      <c r="D40" s="773">
        <f>SUM(D38:D39)</f>
        <v>157837.1</v>
      </c>
      <c r="E40" s="774">
        <v>83.39</v>
      </c>
      <c r="F40" s="775">
        <f>SUM(F38:F39)</f>
        <v>1</v>
      </c>
      <c r="G40" s="2"/>
      <c r="H40" s="2"/>
    </row>
    <row r="41" spans="1:8" ht="15.75" customHeight="1">
      <c r="A41" s="719"/>
      <c r="B41" s="715"/>
      <c r="C41" s="766"/>
      <c r="D41" s="767"/>
      <c r="E41" s="776"/>
      <c r="F41" s="769"/>
      <c r="G41" s="2"/>
      <c r="H41" s="2"/>
    </row>
    <row r="42" spans="1:8" ht="15.75" customHeight="1">
      <c r="A42" s="715" t="s">
        <v>21</v>
      </c>
      <c r="B42" s="715"/>
      <c r="C42" s="715"/>
      <c r="D42" s="715"/>
      <c r="E42" s="715"/>
      <c r="F42" s="777"/>
      <c r="G42" s="2"/>
      <c r="H42" s="2"/>
    </row>
    <row r="43" spans="1:8" ht="15.75" customHeight="1">
      <c r="A43" s="715"/>
      <c r="B43" s="715"/>
      <c r="C43" s="715"/>
      <c r="D43" s="715"/>
      <c r="E43" s="715" t="s">
        <v>22</v>
      </c>
      <c r="F43" s="715"/>
      <c r="G43" s="2"/>
      <c r="H43" s="2"/>
    </row>
    <row r="44" spans="1:8" ht="15.75" customHeight="1">
      <c r="A44" s="715" t="s">
        <v>23</v>
      </c>
      <c r="B44" s="715"/>
      <c r="C44" s="715"/>
      <c r="D44" s="715" t="s">
        <v>24</v>
      </c>
      <c r="E44" s="715"/>
      <c r="F44" s="715"/>
      <c r="G44" s="2"/>
      <c r="H44" s="2"/>
    </row>
    <row r="45" spans="1:8" ht="15.75" customHeight="1">
      <c r="A45" s="715" t="s">
        <v>25</v>
      </c>
      <c r="B45" s="715"/>
      <c r="C45" s="715"/>
      <c r="D45" s="715"/>
      <c r="E45" s="715"/>
      <c r="F45" s="715"/>
      <c r="G45" s="2"/>
      <c r="H45" s="2"/>
    </row>
    <row r="46" spans="1:8" ht="15.75" customHeight="1">
      <c r="A46" s="715" t="s">
        <v>26</v>
      </c>
      <c r="B46" s="715"/>
      <c r="C46" s="715"/>
      <c r="D46" s="715"/>
      <c r="E46" s="715"/>
      <c r="F46" s="715"/>
      <c r="G46" s="2"/>
      <c r="H46" s="2"/>
    </row>
    <row r="47" spans="1:8" ht="15.75" customHeight="1">
      <c r="A47" s="715" t="s">
        <v>27</v>
      </c>
      <c r="B47" s="715"/>
      <c r="C47" s="715"/>
      <c r="D47" s="715"/>
      <c r="E47" s="715"/>
      <c r="F47" s="715"/>
      <c r="G47" s="2"/>
      <c r="H47" s="2"/>
    </row>
    <row r="48" spans="1:8" ht="15.75" customHeight="1">
      <c r="A48" s="715" t="s">
        <v>28</v>
      </c>
      <c r="B48" s="715"/>
      <c r="C48" s="715"/>
      <c r="D48" s="715"/>
      <c r="E48" s="715"/>
      <c r="F48" s="715"/>
      <c r="G48" s="2"/>
      <c r="H48" s="2"/>
    </row>
    <row r="49" spans="1:8" ht="18" customHeight="1">
      <c r="A49" s="580"/>
      <c r="B49" s="580"/>
      <c r="C49" s="580"/>
      <c r="D49" s="580"/>
      <c r="E49" s="580"/>
      <c r="F49" s="580"/>
      <c r="G49" s="580"/>
      <c r="H49" s="580"/>
    </row>
    <row r="50" spans="1:8" ht="18" customHeight="1">
      <c r="A50" s="580"/>
      <c r="B50" s="580"/>
      <c r="C50" s="580"/>
      <c r="D50" s="580"/>
      <c r="E50" s="580"/>
      <c r="F50" s="580"/>
      <c r="G50" s="580"/>
      <c r="H50" s="580"/>
    </row>
    <row r="51" spans="1:8" ht="18" customHeight="1">
      <c r="A51" s="580"/>
      <c r="B51" s="580"/>
      <c r="C51" s="580"/>
      <c r="D51" s="580"/>
      <c r="E51" s="580"/>
      <c r="F51" s="580"/>
      <c r="G51" s="580"/>
      <c r="H51" s="580"/>
    </row>
    <row r="52" spans="1:8" ht="18" customHeight="1">
      <c r="A52" s="580"/>
      <c r="B52" s="580"/>
      <c r="C52" s="580"/>
      <c r="D52" s="580"/>
      <c r="E52" s="580"/>
      <c r="F52" s="580"/>
      <c r="G52" s="580"/>
      <c r="H52" s="580"/>
    </row>
  </sheetData>
  <sheetProtection/>
  <mergeCells count="3">
    <mergeCell ref="A4:B4"/>
    <mergeCell ref="A5:C5"/>
    <mergeCell ref="A6:C6"/>
  </mergeCells>
  <printOptions/>
  <pageMargins left="0.7" right="0.7" top="1.25" bottom="0.75" header="0.3" footer="0.3"/>
  <pageSetup horizontalDpi="600" verticalDpi="600" orientation="portrait" scale="85" r:id="rId1"/>
  <headerFooter>
    <oddHeader>&amp;L&amp;D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204"/>
  <sheetViews>
    <sheetView showGridLines="0" zoomScalePageLayoutView="0" workbookViewId="0" topLeftCell="A1">
      <selection activeCell="B21" sqref="B21"/>
    </sheetView>
  </sheetViews>
  <sheetFormatPr defaultColWidth="9.140625" defaultRowHeight="12.75" customHeight="1"/>
  <cols>
    <col min="1" max="1" width="26.7109375" style="4" customWidth="1"/>
    <col min="2" max="2" width="7.57421875" style="4" customWidth="1"/>
    <col min="3" max="3" width="12.57421875" style="6" customWidth="1"/>
    <col min="4" max="4" width="12.7109375" style="5" customWidth="1"/>
    <col min="5" max="5" width="15.00390625" style="6" customWidth="1"/>
    <col min="6" max="6" width="14.421875" style="5" customWidth="1"/>
    <col min="7" max="7" width="9.8515625" style="5" customWidth="1"/>
    <col min="8" max="8" width="9.57421875" style="5" customWidth="1"/>
    <col min="9" max="9" width="9.28125" style="3" customWidth="1"/>
    <col min="10" max="10" width="21.28125" style="378" bestFit="1" customWidth="1"/>
    <col min="11" max="16384" width="9.140625" style="378" customWidth="1"/>
  </cols>
  <sheetData>
    <row r="1" spans="1:9" ht="12.75" customHeight="1">
      <c r="A1" s="380"/>
      <c r="B1" s="380"/>
      <c r="C1" s="381" t="s">
        <v>3</v>
      </c>
      <c r="D1" s="382"/>
      <c r="E1" s="383"/>
      <c r="F1" s="384"/>
      <c r="G1" s="382"/>
      <c r="H1" s="380"/>
      <c r="I1" s="15"/>
    </row>
    <row r="2" spans="1:9" ht="12.75" customHeight="1">
      <c r="A2" s="380"/>
      <c r="B2" s="380"/>
      <c r="C2" s="381" t="s">
        <v>4</v>
      </c>
      <c r="D2" s="385"/>
      <c r="E2" s="381"/>
      <c r="F2" s="384"/>
      <c r="G2" s="382"/>
      <c r="H2" s="380"/>
      <c r="I2" s="15"/>
    </row>
    <row r="3" spans="1:9" ht="12.75" customHeight="1">
      <c r="A3" s="380"/>
      <c r="B3" s="380"/>
      <c r="C3" s="381" t="s">
        <v>33</v>
      </c>
      <c r="D3" s="385"/>
      <c r="E3" s="381"/>
      <c r="F3" s="384"/>
      <c r="G3" s="382"/>
      <c r="H3" s="380"/>
      <c r="I3" s="15"/>
    </row>
    <row r="4" spans="1:9" ht="12.75" customHeight="1">
      <c r="A4" s="386"/>
      <c r="B4" s="380"/>
      <c r="C4" s="381" t="s">
        <v>31</v>
      </c>
      <c r="D4" s="385"/>
      <c r="E4" s="381"/>
      <c r="F4" s="384"/>
      <c r="G4" s="387"/>
      <c r="H4" s="380"/>
      <c r="I4" s="15"/>
    </row>
    <row r="5" spans="1:9" ht="12.75" customHeight="1">
      <c r="A5" s="380"/>
      <c r="B5" s="386"/>
      <c r="C5" s="388"/>
      <c r="D5" s="387"/>
      <c r="E5" s="383" t="s">
        <v>1391</v>
      </c>
      <c r="F5" s="384"/>
      <c r="G5" s="387"/>
      <c r="H5" s="380"/>
      <c r="I5" s="15"/>
    </row>
    <row r="6" spans="1:9" ht="12.75" customHeight="1">
      <c r="A6" s="389" t="s">
        <v>39</v>
      </c>
      <c r="B6" s="386"/>
      <c r="C6" s="388"/>
      <c r="D6" s="387"/>
      <c r="E6" s="388"/>
      <c r="F6" s="384"/>
      <c r="G6" s="387"/>
      <c r="H6" s="380"/>
      <c r="I6" s="15"/>
    </row>
    <row r="7" spans="1:9" ht="12.75" customHeight="1">
      <c r="A7" s="390" t="s">
        <v>312</v>
      </c>
      <c r="B7" s="390"/>
      <c r="C7" s="856" t="s">
        <v>1390</v>
      </c>
      <c r="D7" s="856"/>
      <c r="E7" s="553" t="s">
        <v>1392</v>
      </c>
      <c r="F7" s="384"/>
      <c r="G7" s="382"/>
      <c r="H7" s="380"/>
      <c r="I7" s="15"/>
    </row>
    <row r="8" spans="1:9" ht="12.75" customHeight="1">
      <c r="A8" s="392" t="s">
        <v>243</v>
      </c>
      <c r="B8" s="380"/>
      <c r="C8" s="393" t="s">
        <v>0</v>
      </c>
      <c r="D8" s="394" t="s">
        <v>1</v>
      </c>
      <c r="E8" s="393" t="s">
        <v>0</v>
      </c>
      <c r="F8" s="394" t="s">
        <v>1</v>
      </c>
      <c r="G8" s="382"/>
      <c r="H8" s="380"/>
      <c r="I8" s="15"/>
    </row>
    <row r="9" spans="1:9" ht="12.75" customHeight="1">
      <c r="A9" s="141" t="s">
        <v>1348</v>
      </c>
      <c r="B9" s="138"/>
      <c r="C9" s="142">
        <v>0</v>
      </c>
      <c r="D9" s="584">
        <v>0</v>
      </c>
      <c r="E9" s="142">
        <v>2991.7</v>
      </c>
      <c r="F9" s="585">
        <v>77.01403884079286</v>
      </c>
      <c r="G9" s="138"/>
      <c r="H9" s="586"/>
      <c r="I9" s="15"/>
    </row>
    <row r="10" spans="1:9" ht="12.75" customHeight="1">
      <c r="A10" s="141" t="s">
        <v>1207</v>
      </c>
      <c r="B10" s="138"/>
      <c r="C10" s="142">
        <v>0</v>
      </c>
      <c r="D10" s="584">
        <v>0</v>
      </c>
      <c r="E10" s="142">
        <v>30436.8</v>
      </c>
      <c r="F10" s="585">
        <v>104.30713806970509</v>
      </c>
      <c r="G10" s="138"/>
      <c r="H10" s="586"/>
      <c r="I10" s="15"/>
    </row>
    <row r="11" spans="1:9" ht="12.75" customHeight="1">
      <c r="A11" s="141" t="s">
        <v>277</v>
      </c>
      <c r="B11" s="138"/>
      <c r="C11" s="142">
        <v>1497.7</v>
      </c>
      <c r="D11" s="584">
        <v>93.3331107698471</v>
      </c>
      <c r="E11" s="142">
        <v>83353.19999999998</v>
      </c>
      <c r="F11" s="585">
        <v>123.71193787401084</v>
      </c>
      <c r="G11" s="138"/>
      <c r="H11" s="586"/>
      <c r="I11" s="15"/>
    </row>
    <row r="12" spans="1:9" ht="12.75" customHeight="1">
      <c r="A12" s="141" t="s">
        <v>279</v>
      </c>
      <c r="B12" s="138"/>
      <c r="C12" s="142">
        <v>0</v>
      </c>
      <c r="D12" s="584">
        <v>0</v>
      </c>
      <c r="E12" s="142">
        <v>2991</v>
      </c>
      <c r="F12" s="585">
        <v>240.16666666666666</v>
      </c>
      <c r="G12" s="138"/>
      <c r="H12" s="586"/>
      <c r="I12" s="15"/>
    </row>
    <row r="13" spans="1:9" ht="12.75" customHeight="1">
      <c r="A13" s="141" t="s">
        <v>278</v>
      </c>
      <c r="B13" s="138"/>
      <c r="C13" s="142">
        <v>997</v>
      </c>
      <c r="D13" s="584">
        <v>125</v>
      </c>
      <c r="E13" s="142">
        <v>131773.8</v>
      </c>
      <c r="F13" s="585">
        <v>184.8150269628713</v>
      </c>
      <c r="G13" s="138"/>
      <c r="H13" s="586"/>
      <c r="I13" s="15"/>
    </row>
    <row r="14" spans="1:9" ht="12.75" customHeight="1">
      <c r="A14" s="141" t="s">
        <v>1208</v>
      </c>
      <c r="B14" s="138"/>
      <c r="C14" s="142">
        <v>499.2</v>
      </c>
      <c r="D14" s="584">
        <v>135</v>
      </c>
      <c r="E14" s="142">
        <v>46856</v>
      </c>
      <c r="F14" s="585">
        <v>186.39189858289228</v>
      </c>
      <c r="G14" s="138"/>
      <c r="H14" s="586"/>
      <c r="I14" s="15"/>
    </row>
    <row r="15" spans="1:9" ht="12.75" customHeight="1">
      <c r="A15" s="141" t="s">
        <v>280</v>
      </c>
      <c r="B15" s="138"/>
      <c r="C15" s="142">
        <v>7983.4</v>
      </c>
      <c r="D15" s="584">
        <v>116.06185334569231</v>
      </c>
      <c r="E15" s="142">
        <v>307045.4000000001</v>
      </c>
      <c r="F15" s="585">
        <v>158.69473732548994</v>
      </c>
      <c r="G15" s="138"/>
      <c r="H15" s="586"/>
      <c r="I15" s="15"/>
    </row>
    <row r="16" spans="1:9" ht="12.75" customHeight="1">
      <c r="A16" s="141" t="s">
        <v>281</v>
      </c>
      <c r="B16" s="138"/>
      <c r="C16" s="142">
        <v>0</v>
      </c>
      <c r="D16" s="584">
        <v>0</v>
      </c>
      <c r="E16" s="142">
        <v>104048.89999999998</v>
      </c>
      <c r="F16" s="585">
        <v>114.47567153521088</v>
      </c>
      <c r="G16" s="138"/>
      <c r="H16" s="586"/>
      <c r="I16" s="15"/>
    </row>
    <row r="17" spans="1:9" ht="12.75" customHeight="1">
      <c r="A17" s="141" t="s">
        <v>1209</v>
      </c>
      <c r="B17" s="138"/>
      <c r="C17" s="142">
        <v>0</v>
      </c>
      <c r="D17" s="584">
        <v>0</v>
      </c>
      <c r="E17" s="142">
        <v>4234.9</v>
      </c>
      <c r="F17" s="585">
        <v>88.83397482821319</v>
      </c>
      <c r="G17" s="138"/>
      <c r="H17" s="586"/>
      <c r="I17" s="15"/>
    </row>
    <row r="18" spans="1:9" ht="12.75" customHeight="1">
      <c r="A18" s="141" t="s">
        <v>1210</v>
      </c>
      <c r="B18" s="138"/>
      <c r="C18" s="142">
        <v>0</v>
      </c>
      <c r="D18" s="584">
        <v>0</v>
      </c>
      <c r="E18" s="142">
        <v>11966.1</v>
      </c>
      <c r="F18" s="585">
        <v>100</v>
      </c>
      <c r="G18" s="138"/>
      <c r="H18" s="586"/>
      <c r="I18" s="15"/>
    </row>
    <row r="19" spans="1:9" ht="12.75" customHeight="1">
      <c r="A19" s="141" t="s">
        <v>1211</v>
      </c>
      <c r="B19" s="138"/>
      <c r="C19" s="142">
        <v>2496.2</v>
      </c>
      <c r="D19" s="584">
        <v>178.59947119621827</v>
      </c>
      <c r="E19" s="142">
        <v>24959.800000000003</v>
      </c>
      <c r="F19" s="585">
        <v>198.48134199793265</v>
      </c>
      <c r="G19" s="138"/>
      <c r="H19" s="586"/>
      <c r="I19" s="15"/>
    </row>
    <row r="20" spans="1:9" ht="12.75" customHeight="1">
      <c r="A20" s="141" t="s">
        <v>1212</v>
      </c>
      <c r="B20" s="138"/>
      <c r="C20" s="142">
        <v>5483.5</v>
      </c>
      <c r="D20" s="584">
        <v>124.27272727272727</v>
      </c>
      <c r="E20" s="142">
        <v>40371.399999999994</v>
      </c>
      <c r="F20" s="585">
        <v>165.41702294198373</v>
      </c>
      <c r="G20" s="138"/>
      <c r="H20" s="586"/>
      <c r="I20" s="15"/>
    </row>
    <row r="21" spans="1:9" ht="12.75" customHeight="1">
      <c r="A21" s="141" t="s">
        <v>282</v>
      </c>
      <c r="B21" s="138"/>
      <c r="C21" s="142">
        <v>997</v>
      </c>
      <c r="D21" s="584">
        <v>109</v>
      </c>
      <c r="E21" s="142">
        <v>73513.49999999999</v>
      </c>
      <c r="F21" s="585">
        <v>179.86328361457424</v>
      </c>
      <c r="G21" s="138"/>
      <c r="H21" s="586"/>
      <c r="I21" s="15"/>
    </row>
    <row r="22" spans="1:9" ht="12.75" customHeight="1">
      <c r="A22" s="141" t="s">
        <v>283</v>
      </c>
      <c r="B22" s="138"/>
      <c r="C22" s="142">
        <v>14446.6</v>
      </c>
      <c r="D22" s="584">
        <v>213.68763584511234</v>
      </c>
      <c r="E22" s="142">
        <v>533803.8000000002</v>
      </c>
      <c r="F22" s="585">
        <v>261.1652985610068</v>
      </c>
      <c r="G22" s="138"/>
      <c r="H22" s="586"/>
      <c r="I22" s="15"/>
    </row>
    <row r="23" spans="1:9" ht="12.75" customHeight="1">
      <c r="A23" s="141" t="s">
        <v>284</v>
      </c>
      <c r="B23" s="138"/>
      <c r="C23" s="142">
        <v>0</v>
      </c>
      <c r="D23" s="584">
        <v>0</v>
      </c>
      <c r="E23" s="142">
        <v>37338.2</v>
      </c>
      <c r="F23" s="585">
        <v>109.71266424198275</v>
      </c>
      <c r="G23" s="138"/>
      <c r="H23" s="586"/>
      <c r="I23" s="15"/>
    </row>
    <row r="24" spans="1:9" ht="12.75" customHeight="1">
      <c r="A24" s="141" t="s">
        <v>285</v>
      </c>
      <c r="B24" s="138"/>
      <c r="C24" s="142">
        <v>249.5</v>
      </c>
      <c r="D24" s="584">
        <v>101</v>
      </c>
      <c r="E24" s="142">
        <v>106140.69999999998</v>
      </c>
      <c r="F24" s="585">
        <v>170.60876459265864</v>
      </c>
      <c r="G24" s="138"/>
      <c r="H24" s="586"/>
      <c r="I24" s="15"/>
    </row>
    <row r="25" spans="1:9" ht="12.75" customHeight="1">
      <c r="A25" s="141" t="s">
        <v>1213</v>
      </c>
      <c r="B25" s="138"/>
      <c r="C25" s="142">
        <v>0</v>
      </c>
      <c r="D25" s="584">
        <v>0</v>
      </c>
      <c r="E25" s="142">
        <v>23422</v>
      </c>
      <c r="F25" s="585">
        <v>133.88325932883612</v>
      </c>
      <c r="G25" s="138"/>
      <c r="H25" s="586"/>
      <c r="I25" s="15"/>
    </row>
    <row r="26" spans="1:9" ht="12.75" customHeight="1">
      <c r="A26" s="141" t="s">
        <v>286</v>
      </c>
      <c r="B26" s="138"/>
      <c r="C26" s="142">
        <v>5491.6</v>
      </c>
      <c r="D26" s="584">
        <v>120.99934445334692</v>
      </c>
      <c r="E26" s="142">
        <v>246917</v>
      </c>
      <c r="F26" s="585">
        <v>211.49139062923976</v>
      </c>
      <c r="G26" s="138"/>
      <c r="H26" s="586"/>
      <c r="I26" s="15"/>
    </row>
    <row r="27" spans="1:9" ht="12.75" customHeight="1">
      <c r="A27" s="141" t="s">
        <v>1214</v>
      </c>
      <c r="B27" s="138"/>
      <c r="C27" s="142">
        <v>0</v>
      </c>
      <c r="D27" s="584">
        <v>0</v>
      </c>
      <c r="E27" s="142">
        <v>12462.5</v>
      </c>
      <c r="F27" s="585">
        <v>193.64</v>
      </c>
      <c r="G27" s="138"/>
      <c r="H27" s="586"/>
      <c r="I27" s="15"/>
    </row>
    <row r="28" spans="1:9" ht="12.75" customHeight="1">
      <c r="A28" s="141" t="s">
        <v>287</v>
      </c>
      <c r="B28" s="138"/>
      <c r="C28" s="142">
        <v>1745.2</v>
      </c>
      <c r="D28" s="584">
        <v>143.83703873481548</v>
      </c>
      <c r="E28" s="142">
        <v>179055.6</v>
      </c>
      <c r="F28" s="585">
        <v>172.33186451582637</v>
      </c>
      <c r="G28" s="138"/>
      <c r="H28" s="586"/>
      <c r="I28" s="15"/>
    </row>
    <row r="29" spans="1:9" ht="12.75" customHeight="1">
      <c r="A29" s="141" t="s">
        <v>288</v>
      </c>
      <c r="B29" s="138"/>
      <c r="C29" s="142">
        <v>3993</v>
      </c>
      <c r="D29" s="584">
        <v>139.87816178312045</v>
      </c>
      <c r="E29" s="142">
        <v>469097.39999999997</v>
      </c>
      <c r="F29" s="585">
        <v>173.61639373827268</v>
      </c>
      <c r="G29" s="138"/>
      <c r="H29" s="586"/>
      <c r="I29" s="15"/>
    </row>
    <row r="30" spans="1:9" ht="12.75" customHeight="1">
      <c r="A30" s="141" t="s">
        <v>1215</v>
      </c>
      <c r="B30" s="138"/>
      <c r="C30" s="142">
        <v>0</v>
      </c>
      <c r="D30" s="584">
        <v>0</v>
      </c>
      <c r="E30" s="142">
        <v>12483.4</v>
      </c>
      <c r="F30" s="585">
        <v>128.42010990595512</v>
      </c>
      <c r="G30" s="138"/>
      <c r="H30" s="586"/>
      <c r="I30" s="15"/>
    </row>
    <row r="31" spans="1:9" ht="12.75" customHeight="1">
      <c r="A31" s="141" t="s">
        <v>289</v>
      </c>
      <c r="B31" s="138"/>
      <c r="C31" s="142">
        <v>0</v>
      </c>
      <c r="D31" s="584">
        <v>0</v>
      </c>
      <c r="E31" s="142">
        <v>413407.19999999995</v>
      </c>
      <c r="F31" s="585">
        <v>214.7231758421237</v>
      </c>
      <c r="G31" s="138"/>
      <c r="H31" s="586"/>
      <c r="I31" s="15"/>
    </row>
    <row r="32" spans="1:9" ht="12.75" customHeight="1">
      <c r="A32" s="141" t="s">
        <v>290</v>
      </c>
      <c r="B32" s="138"/>
      <c r="C32" s="142">
        <v>2492.5</v>
      </c>
      <c r="D32" s="584">
        <v>73.4</v>
      </c>
      <c r="E32" s="142">
        <v>58998.49999999999</v>
      </c>
      <c r="F32" s="585">
        <v>101.33408306990857</v>
      </c>
      <c r="G32" s="138"/>
      <c r="H32" s="586"/>
      <c r="I32" s="15"/>
    </row>
    <row r="33" spans="1:9" ht="12.75" customHeight="1">
      <c r="A33" s="141" t="s">
        <v>291</v>
      </c>
      <c r="B33" s="138"/>
      <c r="C33" s="142">
        <v>997.7</v>
      </c>
      <c r="D33" s="584">
        <v>97.49824596572115</v>
      </c>
      <c r="E33" s="142">
        <v>235088.7</v>
      </c>
      <c r="F33" s="585">
        <v>133.50181782450625</v>
      </c>
      <c r="G33" s="138"/>
      <c r="H33" s="586"/>
      <c r="I33" s="15"/>
    </row>
    <row r="34" spans="1:9" ht="12.75" customHeight="1">
      <c r="A34" s="141" t="s">
        <v>292</v>
      </c>
      <c r="B34" s="138"/>
      <c r="C34" s="142">
        <v>1994.7</v>
      </c>
      <c r="D34" s="584">
        <v>115.00210557978643</v>
      </c>
      <c r="E34" s="142">
        <v>131593.89999999997</v>
      </c>
      <c r="F34" s="585">
        <v>205.12107324123696</v>
      </c>
      <c r="G34" s="138"/>
      <c r="H34" s="586"/>
      <c r="I34" s="15"/>
    </row>
    <row r="35" spans="1:9" ht="12.75" customHeight="1">
      <c r="A35" s="141" t="s">
        <v>294</v>
      </c>
      <c r="B35" s="138"/>
      <c r="C35" s="142">
        <v>0</v>
      </c>
      <c r="D35" s="584">
        <v>0</v>
      </c>
      <c r="E35" s="142">
        <v>21114.2</v>
      </c>
      <c r="F35" s="585">
        <v>88.11183942559983</v>
      </c>
      <c r="G35" s="138"/>
      <c r="H35" s="586"/>
      <c r="I35" s="15"/>
    </row>
    <row r="36" spans="1:9" ht="12.75" customHeight="1">
      <c r="A36" s="141" t="s">
        <v>295</v>
      </c>
      <c r="B36" s="138"/>
      <c r="C36" s="142">
        <v>8984.6</v>
      </c>
      <c r="D36" s="584">
        <v>92.72342675244307</v>
      </c>
      <c r="E36" s="142">
        <v>130235</v>
      </c>
      <c r="F36" s="585">
        <v>114.28589780013054</v>
      </c>
      <c r="G36" s="138"/>
      <c r="H36" s="586"/>
      <c r="I36" s="15"/>
    </row>
    <row r="37" spans="1:9" ht="12.75" customHeight="1">
      <c r="A37" s="141" t="s">
        <v>1216</v>
      </c>
      <c r="B37" s="138"/>
      <c r="C37" s="142">
        <v>0</v>
      </c>
      <c r="D37" s="584">
        <v>0</v>
      </c>
      <c r="E37" s="142">
        <v>8975.8</v>
      </c>
      <c r="F37" s="585">
        <v>171.7285478731701</v>
      </c>
      <c r="G37" s="138"/>
      <c r="H37" s="586"/>
      <c r="I37" s="15"/>
    </row>
    <row r="38" spans="1:9" ht="12.75" customHeight="1">
      <c r="A38" s="141" t="s">
        <v>293</v>
      </c>
      <c r="B38" s="138"/>
      <c r="C38" s="142">
        <v>12480</v>
      </c>
      <c r="D38" s="584">
        <v>111.90060096153846</v>
      </c>
      <c r="E38" s="142">
        <v>201839.80000000002</v>
      </c>
      <c r="F38" s="585">
        <v>174.35997063017302</v>
      </c>
      <c r="G38" s="138"/>
      <c r="H38" s="586"/>
      <c r="I38" s="15"/>
    </row>
    <row r="39" spans="1:9" ht="12.75" customHeight="1">
      <c r="A39" s="141" t="s">
        <v>1217</v>
      </c>
      <c r="B39" s="138"/>
      <c r="C39" s="142">
        <v>0</v>
      </c>
      <c r="D39" s="584">
        <v>0</v>
      </c>
      <c r="E39" s="142">
        <v>33879.8</v>
      </c>
      <c r="F39" s="585">
        <v>192.20977691721907</v>
      </c>
      <c r="G39" s="138"/>
      <c r="H39" s="586"/>
      <c r="I39" s="15"/>
    </row>
    <row r="40" spans="1:9" ht="12.75" customHeight="1">
      <c r="A40" s="141" t="s">
        <v>1218</v>
      </c>
      <c r="B40" s="138"/>
      <c r="C40" s="142">
        <v>1495.5</v>
      </c>
      <c r="D40" s="584">
        <v>96.66666666666667</v>
      </c>
      <c r="E40" s="142">
        <v>35440.8</v>
      </c>
      <c r="F40" s="585">
        <v>170.9458646531681</v>
      </c>
      <c r="G40" s="138"/>
      <c r="H40" s="586"/>
      <c r="I40" s="15"/>
    </row>
    <row r="41" spans="1:9" ht="12.75" customHeight="1">
      <c r="A41" s="141" t="s">
        <v>296</v>
      </c>
      <c r="B41" s="138"/>
      <c r="C41" s="142">
        <v>1996.1</v>
      </c>
      <c r="D41" s="584">
        <v>129.01543008867293</v>
      </c>
      <c r="E41" s="142">
        <v>164125.50000000003</v>
      </c>
      <c r="F41" s="585">
        <v>150.01947716838635</v>
      </c>
      <c r="G41" s="138"/>
      <c r="H41" s="586"/>
      <c r="I41" s="15"/>
    </row>
    <row r="42" spans="1:9" ht="12.75" customHeight="1">
      <c r="A42" s="141" t="s">
        <v>297</v>
      </c>
      <c r="B42" s="138"/>
      <c r="C42" s="142">
        <v>3991</v>
      </c>
      <c r="D42" s="584">
        <v>82.25169130543723</v>
      </c>
      <c r="E42" s="142">
        <v>83476</v>
      </c>
      <c r="F42" s="585">
        <v>109.38046025204848</v>
      </c>
      <c r="G42" s="138"/>
      <c r="H42" s="586"/>
      <c r="I42" s="15"/>
    </row>
    <row r="43" spans="1:9" ht="12.75" customHeight="1">
      <c r="A43" s="141" t="s">
        <v>313</v>
      </c>
      <c r="B43" s="138"/>
      <c r="C43" s="142">
        <v>2491</v>
      </c>
      <c r="D43" s="584">
        <v>94.39662786029707</v>
      </c>
      <c r="E43" s="142">
        <v>76713.5</v>
      </c>
      <c r="F43" s="585">
        <v>161.29350375096953</v>
      </c>
      <c r="G43" s="138"/>
      <c r="H43" s="586"/>
      <c r="I43" s="15"/>
    </row>
    <row r="44" spans="1:9" ht="12.75" customHeight="1">
      <c r="A44" s="141" t="s">
        <v>298</v>
      </c>
      <c r="B44" s="138"/>
      <c r="C44" s="142">
        <v>9734.4</v>
      </c>
      <c r="D44" s="584">
        <v>120.3317410420776</v>
      </c>
      <c r="E44" s="142">
        <v>552219.8</v>
      </c>
      <c r="F44" s="585">
        <v>167.97025206267503</v>
      </c>
      <c r="G44" s="138"/>
      <c r="H44" s="586"/>
      <c r="I44" s="15"/>
    </row>
    <row r="45" spans="1:9" ht="12.75" customHeight="1">
      <c r="A45" s="141" t="s">
        <v>1219</v>
      </c>
      <c r="B45" s="138"/>
      <c r="C45" s="142">
        <v>9984.8</v>
      </c>
      <c r="D45" s="584">
        <v>162.8999278903934</v>
      </c>
      <c r="E45" s="142">
        <v>60395</v>
      </c>
      <c r="F45" s="585">
        <v>191.49317658746583</v>
      </c>
      <c r="G45" s="138"/>
      <c r="H45" s="586"/>
      <c r="I45" s="15"/>
    </row>
    <row r="46" spans="1:9" ht="12.75" customHeight="1">
      <c r="A46" s="141" t="s">
        <v>299</v>
      </c>
      <c r="B46" s="138"/>
      <c r="C46" s="142">
        <v>498.5</v>
      </c>
      <c r="D46" s="584">
        <v>74</v>
      </c>
      <c r="E46" s="142">
        <v>78246.09999999999</v>
      </c>
      <c r="F46" s="585">
        <v>115.10739704598697</v>
      </c>
      <c r="G46" s="138"/>
      <c r="H46" s="586"/>
      <c r="I46" s="15"/>
    </row>
    <row r="47" spans="1:9" ht="12.75" customHeight="1">
      <c r="A47" s="141" t="s">
        <v>1220</v>
      </c>
      <c r="B47" s="138"/>
      <c r="C47" s="142">
        <v>0</v>
      </c>
      <c r="D47" s="584">
        <v>0</v>
      </c>
      <c r="E47" s="142">
        <v>17966.1</v>
      </c>
      <c r="F47" s="585">
        <v>108.66740694975537</v>
      </c>
      <c r="G47" s="138"/>
      <c r="H47" s="586"/>
      <c r="I47" s="15"/>
    </row>
    <row r="48" spans="1:9" ht="12.75" customHeight="1">
      <c r="A48" s="141" t="s">
        <v>300</v>
      </c>
      <c r="B48" s="138"/>
      <c r="C48" s="142">
        <v>0</v>
      </c>
      <c r="D48" s="584">
        <v>0</v>
      </c>
      <c r="E48" s="142">
        <v>93071.2</v>
      </c>
      <c r="F48" s="585">
        <v>113.54569404928701</v>
      </c>
      <c r="G48" s="138"/>
      <c r="H48" s="586"/>
      <c r="I48" s="15"/>
    </row>
    <row r="49" spans="1:9" ht="12.75" customHeight="1">
      <c r="A49" s="141" t="s">
        <v>301</v>
      </c>
      <c r="B49" s="138"/>
      <c r="C49" s="142">
        <v>50364.7</v>
      </c>
      <c r="D49" s="584">
        <v>151.61956687918325</v>
      </c>
      <c r="E49" s="142">
        <v>823670.1000000001</v>
      </c>
      <c r="F49" s="585">
        <v>195.85641023026085</v>
      </c>
      <c r="G49" s="138"/>
      <c r="H49" s="586"/>
      <c r="I49" s="15"/>
    </row>
    <row r="50" spans="1:9" ht="12.75" customHeight="1">
      <c r="A50" s="141" t="s">
        <v>302</v>
      </c>
      <c r="B50" s="138"/>
      <c r="C50" s="142">
        <v>3982</v>
      </c>
      <c r="D50" s="584">
        <v>84.37217478653943</v>
      </c>
      <c r="E50" s="142">
        <v>190026.80000000005</v>
      </c>
      <c r="F50" s="585">
        <v>109.83717612463082</v>
      </c>
      <c r="G50" s="138"/>
      <c r="H50" s="586"/>
      <c r="I50" s="15"/>
    </row>
    <row r="51" spans="1:9" ht="12.75" customHeight="1">
      <c r="A51" s="141" t="s">
        <v>303</v>
      </c>
      <c r="B51" s="138"/>
      <c r="C51" s="142">
        <v>997</v>
      </c>
      <c r="D51" s="584">
        <v>106.5</v>
      </c>
      <c r="E51" s="142">
        <v>178976.2</v>
      </c>
      <c r="F51" s="585">
        <v>126.00031009709672</v>
      </c>
      <c r="G51" s="138"/>
      <c r="H51" s="586"/>
      <c r="I51" s="15"/>
    </row>
    <row r="52" spans="1:9" ht="12.75" customHeight="1">
      <c r="A52" s="141" t="s">
        <v>314</v>
      </c>
      <c r="B52" s="138"/>
      <c r="C52" s="142">
        <v>1995.5</v>
      </c>
      <c r="D52" s="584">
        <v>92.50187922826359</v>
      </c>
      <c r="E52" s="142">
        <v>64595.2</v>
      </c>
      <c r="F52" s="585">
        <v>163.4777181586248</v>
      </c>
      <c r="G52" s="138"/>
      <c r="H52" s="586"/>
      <c r="I52" s="15"/>
    </row>
    <row r="53" spans="1:9" ht="12.75" customHeight="1">
      <c r="A53" s="141" t="s">
        <v>1221</v>
      </c>
      <c r="B53" s="138"/>
      <c r="C53" s="587">
        <v>498.2</v>
      </c>
      <c r="D53" s="588">
        <v>70</v>
      </c>
      <c r="E53" s="587">
        <v>12413.2</v>
      </c>
      <c r="F53" s="589">
        <v>97.331026649051</v>
      </c>
      <c r="G53" s="138"/>
      <c r="H53" s="586"/>
      <c r="I53" s="15"/>
    </row>
    <row r="54" spans="1:9" ht="12.75" customHeight="1">
      <c r="A54" s="143" t="s">
        <v>304</v>
      </c>
      <c r="B54" s="144"/>
      <c r="C54" s="145">
        <v>160858.1</v>
      </c>
      <c r="D54" s="590">
        <v>136.25665850833747</v>
      </c>
      <c r="E54" s="145">
        <v>6151731.5</v>
      </c>
      <c r="F54" s="591">
        <v>174.83478656375038</v>
      </c>
      <c r="G54" s="138"/>
      <c r="H54" s="586"/>
      <c r="I54" s="15"/>
    </row>
    <row r="55" spans="1:9" ht="12.75" customHeight="1">
      <c r="A55" s="146" t="s">
        <v>36</v>
      </c>
      <c r="B55" s="144"/>
      <c r="C55" s="145"/>
      <c r="D55" s="590"/>
      <c r="E55" s="145"/>
      <c r="F55" s="591"/>
      <c r="G55" s="138"/>
      <c r="H55" s="586"/>
      <c r="I55" s="15"/>
    </row>
    <row r="56" spans="1:9" ht="12.75" customHeight="1">
      <c r="A56" s="146" t="s">
        <v>1222</v>
      </c>
      <c r="B56" s="144"/>
      <c r="C56" s="145" t="s">
        <v>0</v>
      </c>
      <c r="D56" s="590" t="s">
        <v>1</v>
      </c>
      <c r="E56" s="145" t="s">
        <v>0</v>
      </c>
      <c r="F56" s="592" t="s">
        <v>1</v>
      </c>
      <c r="G56" s="138"/>
      <c r="H56" s="586"/>
      <c r="I56" s="15"/>
    </row>
    <row r="57" spans="1:9" ht="12.75" customHeight="1">
      <c r="A57" s="143" t="s">
        <v>1223</v>
      </c>
      <c r="B57" s="144"/>
      <c r="C57" s="593">
        <v>0</v>
      </c>
      <c r="D57" s="594">
        <v>0</v>
      </c>
      <c r="E57" s="595">
        <v>10979.6</v>
      </c>
      <c r="F57" s="596">
        <v>122.77976429013806</v>
      </c>
      <c r="G57" s="138"/>
      <c r="H57" s="586"/>
      <c r="I57" s="15"/>
    </row>
    <row r="58" spans="1:9" ht="12.75" customHeight="1">
      <c r="A58" s="143" t="s">
        <v>1224</v>
      </c>
      <c r="B58" s="144"/>
      <c r="C58" s="147">
        <v>0</v>
      </c>
      <c r="D58" s="597">
        <v>0</v>
      </c>
      <c r="E58" s="147">
        <v>11368.6</v>
      </c>
      <c r="F58" s="598">
        <v>145.43879633376142</v>
      </c>
      <c r="G58" s="138"/>
      <c r="H58" s="586"/>
      <c r="I58" s="15"/>
    </row>
    <row r="59" spans="1:9" ht="12.75" customHeight="1">
      <c r="A59" s="143" t="s">
        <v>1225</v>
      </c>
      <c r="B59" s="144"/>
      <c r="C59" s="147">
        <v>0</v>
      </c>
      <c r="D59" s="597">
        <v>0</v>
      </c>
      <c r="E59" s="145">
        <v>43903.5</v>
      </c>
      <c r="F59" s="599">
        <v>161.5758242509139</v>
      </c>
      <c r="G59" s="138"/>
      <c r="H59" s="586"/>
      <c r="I59" s="15"/>
    </row>
    <row r="60" spans="1:9" ht="12.75" customHeight="1">
      <c r="A60" s="143" t="s">
        <v>304</v>
      </c>
      <c r="B60" s="144"/>
      <c r="C60" s="145">
        <v>0</v>
      </c>
      <c r="D60" s="590">
        <v>0</v>
      </c>
      <c r="E60" s="145">
        <v>66251.7</v>
      </c>
      <c r="F60" s="599">
        <v>152.3772582439394</v>
      </c>
      <c r="G60" s="138"/>
      <c r="H60" s="586"/>
      <c r="I60" s="15"/>
    </row>
    <row r="61" spans="1:9" ht="12.75" customHeight="1">
      <c r="A61" s="143" t="s">
        <v>1226</v>
      </c>
      <c r="B61" s="144"/>
      <c r="C61" s="145">
        <v>160858.1</v>
      </c>
      <c r="D61" s="590">
        <v>136.25665850833747</v>
      </c>
      <c r="E61" s="145">
        <v>6217983.2</v>
      </c>
      <c r="F61" s="599">
        <v>174.59550488975265</v>
      </c>
      <c r="G61" s="138"/>
      <c r="H61" s="586"/>
      <c r="I61" s="15"/>
    </row>
    <row r="62" spans="1:9" ht="12.75" customHeight="1">
      <c r="A62" s="146" t="s">
        <v>1227</v>
      </c>
      <c r="B62" s="144"/>
      <c r="C62" s="145" t="s">
        <v>306</v>
      </c>
      <c r="D62" s="590" t="s">
        <v>307</v>
      </c>
      <c r="E62" s="145" t="s">
        <v>306</v>
      </c>
      <c r="F62" s="592" t="s">
        <v>307</v>
      </c>
      <c r="G62" s="138"/>
      <c r="H62" s="586"/>
      <c r="I62" s="15"/>
    </row>
    <row r="63" spans="1:9" ht="12.75" customHeight="1">
      <c r="A63" s="143" t="s">
        <v>287</v>
      </c>
      <c r="B63" s="144"/>
      <c r="C63" s="147">
        <v>20</v>
      </c>
      <c r="D63" s="597">
        <v>900</v>
      </c>
      <c r="E63" s="147">
        <v>221</v>
      </c>
      <c r="F63" s="600">
        <v>1218.8235294117646</v>
      </c>
      <c r="G63" s="138"/>
      <c r="H63" s="586"/>
      <c r="I63" s="15"/>
    </row>
    <row r="64" spans="1:9" ht="12.75" customHeight="1">
      <c r="A64" s="143" t="s">
        <v>1218</v>
      </c>
      <c r="B64" s="144"/>
      <c r="C64" s="145">
        <v>0</v>
      </c>
      <c r="D64" s="590">
        <v>0</v>
      </c>
      <c r="E64" s="145">
        <v>12</v>
      </c>
      <c r="F64" s="592">
        <v>1212.5</v>
      </c>
      <c r="G64" s="138"/>
      <c r="H64" s="586"/>
      <c r="I64" s="15"/>
    </row>
    <row r="65" spans="1:9" ht="12.75" customHeight="1">
      <c r="A65" s="143" t="s">
        <v>304</v>
      </c>
      <c r="B65" s="144"/>
      <c r="C65" s="145">
        <v>20</v>
      </c>
      <c r="D65" s="590">
        <v>900</v>
      </c>
      <c r="E65" s="145">
        <v>233</v>
      </c>
      <c r="F65" s="592">
        <v>1218.4978540772531</v>
      </c>
      <c r="G65" s="138"/>
      <c r="H65" s="586"/>
      <c r="I65" s="15"/>
    </row>
    <row r="66" spans="1:9" ht="12.75" customHeight="1">
      <c r="A66" s="143" t="s">
        <v>1226</v>
      </c>
      <c r="B66" s="144"/>
      <c r="C66" s="145">
        <v>160878.1</v>
      </c>
      <c r="D66" s="590">
        <v>136.35160534591097</v>
      </c>
      <c r="E66" s="145">
        <v>6218216.2</v>
      </c>
      <c r="F66" s="592">
        <v>174.63462048810715</v>
      </c>
      <c r="G66" s="138"/>
      <c r="H66" s="586"/>
      <c r="I66" s="15"/>
    </row>
    <row r="67" spans="1:9" ht="12.75" customHeight="1">
      <c r="A67" s="146" t="s">
        <v>1228</v>
      </c>
      <c r="B67" s="144"/>
      <c r="C67" s="145" t="s">
        <v>0</v>
      </c>
      <c r="D67" s="590" t="s">
        <v>1</v>
      </c>
      <c r="E67" s="145" t="s">
        <v>0</v>
      </c>
      <c r="F67" s="591" t="s">
        <v>1</v>
      </c>
      <c r="G67" s="138"/>
      <c r="H67" s="586"/>
      <c r="I67" s="15"/>
    </row>
    <row r="68" spans="1:9" ht="12.75" customHeight="1">
      <c r="A68" s="143" t="s">
        <v>278</v>
      </c>
      <c r="B68" s="144"/>
      <c r="C68" s="593">
        <v>0</v>
      </c>
      <c r="D68" s="594">
        <v>0</v>
      </c>
      <c r="E68" s="142">
        <v>1183</v>
      </c>
      <c r="F68" s="596">
        <v>217.62890955198648</v>
      </c>
      <c r="G68" s="138"/>
      <c r="H68" s="586"/>
      <c r="I68" s="15"/>
    </row>
    <row r="69" spans="1:9" ht="12.75" customHeight="1">
      <c r="A69" s="143" t="s">
        <v>294</v>
      </c>
      <c r="B69" s="144"/>
      <c r="C69" s="147">
        <v>0</v>
      </c>
      <c r="D69" s="597">
        <v>0</v>
      </c>
      <c r="E69" s="145">
        <v>497</v>
      </c>
      <c r="F69" s="592">
        <v>115</v>
      </c>
      <c r="G69" s="138"/>
      <c r="H69" s="586"/>
      <c r="I69" s="15"/>
    </row>
    <row r="70" spans="1:9" ht="12.75" customHeight="1">
      <c r="A70" s="143" t="s">
        <v>304</v>
      </c>
      <c r="B70" s="144"/>
      <c r="C70" s="145">
        <v>0</v>
      </c>
      <c r="D70" s="590">
        <v>0</v>
      </c>
      <c r="E70" s="145">
        <v>1680</v>
      </c>
      <c r="F70" s="592">
        <v>187.26785714285714</v>
      </c>
      <c r="G70" s="138"/>
      <c r="H70" s="586"/>
      <c r="I70" s="15"/>
    </row>
    <row r="71" spans="1:9" ht="12.75" customHeight="1">
      <c r="A71" s="143" t="s">
        <v>308</v>
      </c>
      <c r="B71" s="144"/>
      <c r="C71" s="145">
        <v>160878.1</v>
      </c>
      <c r="D71" s="590">
        <v>136.35160534591097</v>
      </c>
      <c r="E71" s="145">
        <v>6219896.2</v>
      </c>
      <c r="F71" s="592">
        <v>174.6380327375881</v>
      </c>
      <c r="G71" s="138"/>
      <c r="H71" s="586"/>
      <c r="I71" s="15"/>
    </row>
    <row r="72" spans="1:9" ht="12.75" customHeight="1">
      <c r="A72" s="143"/>
      <c r="B72" s="144"/>
      <c r="C72" s="145" t="s">
        <v>1390</v>
      </c>
      <c r="D72" s="590"/>
      <c r="E72" s="601" t="s">
        <v>1392</v>
      </c>
      <c r="F72" s="591"/>
      <c r="G72" s="145"/>
      <c r="H72" s="586"/>
      <c r="I72" s="15"/>
    </row>
    <row r="73" spans="1:10" ht="12.75" customHeight="1">
      <c r="A73" s="602" t="s">
        <v>40</v>
      </c>
      <c r="B73" s="603" t="s">
        <v>41</v>
      </c>
      <c r="C73" s="604" t="s">
        <v>0</v>
      </c>
      <c r="D73" s="605" t="s">
        <v>164</v>
      </c>
      <c r="E73" s="604" t="s">
        <v>41</v>
      </c>
      <c r="F73" s="606" t="s">
        <v>0</v>
      </c>
      <c r="G73" s="607" t="s">
        <v>164</v>
      </c>
      <c r="H73" s="608" t="s">
        <v>2</v>
      </c>
      <c r="I73" s="15"/>
      <c r="J73" s="552"/>
    </row>
    <row r="74" spans="1:10" ht="12.75" customHeight="1">
      <c r="A74" s="143" t="s">
        <v>42</v>
      </c>
      <c r="B74" s="609">
        <v>0</v>
      </c>
      <c r="C74" s="610">
        <v>0</v>
      </c>
      <c r="D74" s="597">
        <v>0</v>
      </c>
      <c r="E74" s="609">
        <v>5</v>
      </c>
      <c r="F74" s="610">
        <v>249.5</v>
      </c>
      <c r="G74" s="597">
        <v>210</v>
      </c>
      <c r="H74" s="597">
        <v>4.011320960629536E-05</v>
      </c>
      <c r="I74" s="15"/>
      <c r="J74" s="552"/>
    </row>
    <row r="75" spans="1:10" ht="12.75" customHeight="1">
      <c r="A75" s="143" t="s">
        <v>43</v>
      </c>
      <c r="B75" s="611">
        <v>3226</v>
      </c>
      <c r="C75" s="612">
        <v>160878.1</v>
      </c>
      <c r="D75" s="590">
        <v>136.35160534591097</v>
      </c>
      <c r="E75" s="611">
        <v>124709</v>
      </c>
      <c r="F75" s="613">
        <v>6219646.699999999</v>
      </c>
      <c r="G75" s="614">
        <v>174.63661419868112</v>
      </c>
      <c r="H75" s="615">
        <v>0.9999598867903937</v>
      </c>
      <c r="I75" s="15"/>
      <c r="J75" s="552"/>
    </row>
    <row r="76" spans="1:9" ht="12.75" customHeight="1">
      <c r="A76" s="143" t="s">
        <v>44</v>
      </c>
      <c r="B76" s="611">
        <v>3226</v>
      </c>
      <c r="C76" s="612">
        <v>160878.1</v>
      </c>
      <c r="D76" s="590">
        <v>136.35160534591097</v>
      </c>
      <c r="E76" s="611">
        <v>124714</v>
      </c>
      <c r="F76" s="613">
        <v>6219896.199999999</v>
      </c>
      <c r="G76" s="614">
        <v>174.63803273758816</v>
      </c>
      <c r="H76" s="615">
        <v>1</v>
      </c>
      <c r="I76" s="15"/>
    </row>
    <row r="77" spans="1:9" ht="12.75" customHeight="1">
      <c r="A77" s="143"/>
      <c r="B77" s="616"/>
      <c r="C77" s="145"/>
      <c r="D77" s="590"/>
      <c r="E77" s="616"/>
      <c r="F77" s="617"/>
      <c r="G77" s="591"/>
      <c r="H77" s="618"/>
      <c r="I77" s="15"/>
    </row>
    <row r="78" spans="1:9" ht="12.75" customHeight="1">
      <c r="A78" s="395"/>
      <c r="B78" s="396"/>
      <c r="C78" s="397"/>
      <c r="D78" s="398"/>
      <c r="E78" s="399"/>
      <c r="F78" s="400"/>
      <c r="G78" s="444"/>
      <c r="H78" s="396"/>
      <c r="I78" s="15"/>
    </row>
    <row r="79" spans="1:9" ht="12.75" customHeight="1">
      <c r="A79" s="395"/>
      <c r="B79" s="396"/>
      <c r="C79" s="397"/>
      <c r="D79" s="398"/>
      <c r="E79" s="399"/>
      <c r="F79" s="400"/>
      <c r="G79" s="444"/>
      <c r="H79" s="396"/>
      <c r="I79" s="15"/>
    </row>
    <row r="80" spans="1:9" ht="12.75" customHeight="1">
      <c r="A80" s="395"/>
      <c r="B80" s="396"/>
      <c r="C80" s="397"/>
      <c r="D80" s="398"/>
      <c r="E80" s="399"/>
      <c r="F80" s="400"/>
      <c r="G80" s="444"/>
      <c r="H80" s="396"/>
      <c r="I80" s="15"/>
    </row>
    <row r="81" spans="1:9" ht="12.75" customHeight="1">
      <c r="A81" s="395"/>
      <c r="B81" s="396"/>
      <c r="C81" s="397"/>
      <c r="D81" s="398"/>
      <c r="E81" s="399"/>
      <c r="F81" s="400"/>
      <c r="G81" s="444"/>
      <c r="H81" s="396"/>
      <c r="I81" s="15"/>
    </row>
    <row r="82" spans="1:9" ht="12.75" customHeight="1">
      <c r="A82" s="395"/>
      <c r="B82" s="396"/>
      <c r="C82" s="397"/>
      <c r="D82" s="398"/>
      <c r="E82" s="399"/>
      <c r="F82" s="400"/>
      <c r="G82" s="444"/>
      <c r="H82" s="396"/>
      <c r="I82" s="15"/>
    </row>
    <row r="83" spans="1:9" ht="12.75" customHeight="1">
      <c r="A83" s="395"/>
      <c r="B83" s="396"/>
      <c r="C83" s="397"/>
      <c r="D83" s="398"/>
      <c r="E83" s="399"/>
      <c r="F83" s="400"/>
      <c r="G83" s="444"/>
      <c r="H83" s="396"/>
      <c r="I83" s="15"/>
    </row>
    <row r="84" spans="1:9" ht="12.75" customHeight="1">
      <c r="A84" s="395"/>
      <c r="B84" s="396"/>
      <c r="C84" s="397"/>
      <c r="D84" s="398"/>
      <c r="E84" s="399"/>
      <c r="F84" s="400"/>
      <c r="G84" s="444"/>
      <c r="H84" s="396"/>
      <c r="I84" s="15"/>
    </row>
    <row r="85" spans="1:9" ht="12.75" customHeight="1">
      <c r="A85" s="395"/>
      <c r="B85" s="396"/>
      <c r="C85" s="397"/>
      <c r="D85" s="398"/>
      <c r="E85" s="399"/>
      <c r="F85" s="400"/>
      <c r="G85" s="444"/>
      <c r="H85" s="396"/>
      <c r="I85" s="15"/>
    </row>
    <row r="86" spans="1:9" ht="12.75" customHeight="1">
      <c r="A86" s="395"/>
      <c r="B86" s="396"/>
      <c r="C86" s="397"/>
      <c r="D86" s="398"/>
      <c r="E86" s="399"/>
      <c r="F86" s="400"/>
      <c r="G86" s="444"/>
      <c r="H86" s="396"/>
      <c r="I86" s="15"/>
    </row>
    <row r="87" spans="1:9" ht="12.75" customHeight="1">
      <c r="A87" s="395"/>
      <c r="B87" s="396"/>
      <c r="C87" s="397"/>
      <c r="D87" s="398"/>
      <c r="E87" s="399"/>
      <c r="F87" s="400"/>
      <c r="G87" s="444"/>
      <c r="H87" s="396"/>
      <c r="I87" s="15"/>
    </row>
    <row r="88" spans="1:9" ht="12.75" customHeight="1">
      <c r="A88" s="395"/>
      <c r="B88" s="396"/>
      <c r="C88" s="397"/>
      <c r="D88" s="398"/>
      <c r="E88" s="399"/>
      <c r="F88" s="400"/>
      <c r="G88" s="444"/>
      <c r="H88" s="396"/>
      <c r="I88" s="15"/>
    </row>
    <row r="89" spans="1:9" ht="12.75" customHeight="1">
      <c r="A89" s="395"/>
      <c r="B89" s="396"/>
      <c r="C89" s="397"/>
      <c r="D89" s="398"/>
      <c r="E89" s="399"/>
      <c r="F89" s="400"/>
      <c r="G89" s="444"/>
      <c r="H89" s="396"/>
      <c r="I89" s="15"/>
    </row>
    <row r="90" spans="1:9" ht="12.75" customHeight="1">
      <c r="A90" s="395"/>
      <c r="B90" s="396"/>
      <c r="C90" s="397"/>
      <c r="D90" s="398"/>
      <c r="E90" s="399"/>
      <c r="F90" s="400"/>
      <c r="G90" s="444"/>
      <c r="H90" s="396"/>
      <c r="I90" s="15"/>
    </row>
    <row r="91" spans="1:9" ht="12.75" customHeight="1">
      <c r="A91" s="395"/>
      <c r="B91" s="396"/>
      <c r="C91" s="397"/>
      <c r="D91" s="398"/>
      <c r="E91" s="399"/>
      <c r="F91" s="400"/>
      <c r="G91" s="444"/>
      <c r="H91" s="396"/>
      <c r="I91" s="15"/>
    </row>
    <row r="92" spans="1:9" ht="12.75" customHeight="1">
      <c r="A92" s="395"/>
      <c r="B92" s="396"/>
      <c r="C92" s="397"/>
      <c r="D92" s="398"/>
      <c r="E92" s="399"/>
      <c r="F92" s="400"/>
      <c r="G92" s="444"/>
      <c r="H92" s="396"/>
      <c r="I92" s="15"/>
    </row>
    <row r="93" spans="1:9" ht="12.75" customHeight="1">
      <c r="A93" s="395"/>
      <c r="B93" s="396"/>
      <c r="C93" s="397"/>
      <c r="D93" s="398"/>
      <c r="E93" s="399"/>
      <c r="F93" s="400"/>
      <c r="G93" s="444"/>
      <c r="H93" s="396"/>
      <c r="I93" s="15"/>
    </row>
    <row r="94" spans="1:9" ht="12.75" customHeight="1">
      <c r="A94" s="395"/>
      <c r="B94" s="396"/>
      <c r="C94" s="397"/>
      <c r="D94" s="398"/>
      <c r="E94" s="399"/>
      <c r="F94" s="400"/>
      <c r="G94" s="444"/>
      <c r="H94" s="396"/>
      <c r="I94" s="15"/>
    </row>
    <row r="95" spans="1:9" ht="12.75" customHeight="1">
      <c r="A95" s="395"/>
      <c r="B95" s="396"/>
      <c r="C95" s="397"/>
      <c r="D95" s="398"/>
      <c r="E95" s="399"/>
      <c r="F95" s="400"/>
      <c r="G95" s="444"/>
      <c r="H95" s="396"/>
      <c r="I95" s="15"/>
    </row>
    <row r="96" spans="1:9" ht="12.75" customHeight="1">
      <c r="A96" s="395"/>
      <c r="B96" s="396"/>
      <c r="C96" s="397"/>
      <c r="D96" s="398"/>
      <c r="E96" s="399"/>
      <c r="F96" s="400"/>
      <c r="G96" s="444"/>
      <c r="H96" s="396"/>
      <c r="I96" s="15"/>
    </row>
    <row r="97" spans="1:9" ht="12.75" customHeight="1">
      <c r="A97" s="395"/>
      <c r="B97" s="396"/>
      <c r="C97" s="397"/>
      <c r="D97" s="398"/>
      <c r="E97" s="399"/>
      <c r="F97" s="400"/>
      <c r="G97" s="444"/>
      <c r="H97" s="396"/>
      <c r="I97" s="15"/>
    </row>
    <row r="98" spans="1:9" ht="12.75" customHeight="1">
      <c r="A98" s="395"/>
      <c r="B98" s="396"/>
      <c r="C98" s="397"/>
      <c r="D98" s="398"/>
      <c r="E98" s="399"/>
      <c r="F98" s="400"/>
      <c r="G98" s="444"/>
      <c r="H98" s="396"/>
      <c r="I98" s="15"/>
    </row>
    <row r="99" spans="1:9" ht="12.75" customHeight="1">
      <c r="A99" s="395"/>
      <c r="B99" s="396"/>
      <c r="C99" s="397"/>
      <c r="D99" s="398"/>
      <c r="E99" s="399"/>
      <c r="F99" s="400"/>
      <c r="G99" s="444"/>
      <c r="H99" s="396"/>
      <c r="I99" s="15"/>
    </row>
    <row r="100" spans="1:9" ht="12.75" customHeight="1">
      <c r="A100" s="395"/>
      <c r="B100" s="396"/>
      <c r="C100" s="397"/>
      <c r="D100" s="398"/>
      <c r="E100" s="399"/>
      <c r="F100" s="400"/>
      <c r="G100" s="444"/>
      <c r="H100" s="396"/>
      <c r="I100" s="15"/>
    </row>
    <row r="101" spans="1:9" ht="12.75" customHeight="1">
      <c r="A101" s="395"/>
      <c r="B101" s="396"/>
      <c r="C101" s="397"/>
      <c r="D101" s="398"/>
      <c r="E101" s="399"/>
      <c r="F101" s="400"/>
      <c r="G101" s="444"/>
      <c r="H101" s="396"/>
      <c r="I101" s="15"/>
    </row>
    <row r="102" spans="1:9" ht="12.75" customHeight="1">
      <c r="A102" s="395"/>
      <c r="B102" s="396"/>
      <c r="C102" s="397"/>
      <c r="D102" s="398"/>
      <c r="E102" s="399"/>
      <c r="F102" s="400"/>
      <c r="G102" s="444"/>
      <c r="H102" s="396"/>
      <c r="I102" s="15"/>
    </row>
    <row r="103" spans="1:9" ht="12.75" customHeight="1">
      <c r="A103" s="395"/>
      <c r="B103" s="396"/>
      <c r="C103" s="397"/>
      <c r="D103" s="398"/>
      <c r="E103" s="399"/>
      <c r="F103" s="400"/>
      <c r="G103" s="444"/>
      <c r="H103" s="396"/>
      <c r="I103" s="15"/>
    </row>
    <row r="104" spans="1:9" ht="12.75" customHeight="1">
      <c r="A104" s="395"/>
      <c r="B104" s="396"/>
      <c r="C104" s="397"/>
      <c r="D104" s="398"/>
      <c r="E104" s="399"/>
      <c r="F104" s="400"/>
      <c r="G104" s="444"/>
      <c r="H104" s="396"/>
      <c r="I104" s="15"/>
    </row>
    <row r="105" spans="1:9" ht="12.75" customHeight="1">
      <c r="A105" s="395"/>
      <c r="B105" s="396"/>
      <c r="C105" s="397"/>
      <c r="D105" s="398"/>
      <c r="E105" s="399"/>
      <c r="F105" s="400"/>
      <c r="G105" s="444"/>
      <c r="H105" s="396"/>
      <c r="I105" s="15"/>
    </row>
    <row r="106" spans="1:9" ht="12.75" customHeight="1">
      <c r="A106" s="395"/>
      <c r="B106" s="396"/>
      <c r="C106" s="397"/>
      <c r="D106" s="398"/>
      <c r="E106" s="399"/>
      <c r="F106" s="400"/>
      <c r="G106" s="444"/>
      <c r="H106" s="396"/>
      <c r="I106" s="15"/>
    </row>
    <row r="107" spans="1:9" ht="12.75" customHeight="1">
      <c r="A107" s="395"/>
      <c r="B107" s="396"/>
      <c r="C107" s="397"/>
      <c r="D107" s="398"/>
      <c r="E107" s="399"/>
      <c r="F107" s="400"/>
      <c r="G107" s="444"/>
      <c r="H107" s="396"/>
      <c r="I107" s="15"/>
    </row>
    <row r="108" spans="1:9" ht="12.75" customHeight="1">
      <c r="A108" s="395"/>
      <c r="B108" s="396"/>
      <c r="C108" s="397"/>
      <c r="D108" s="398"/>
      <c r="E108" s="399"/>
      <c r="F108" s="400"/>
      <c r="G108" s="444"/>
      <c r="H108" s="396"/>
      <c r="I108" s="15"/>
    </row>
    <row r="109" spans="1:9" ht="12.75" customHeight="1">
      <c r="A109" s="395"/>
      <c r="B109" s="396"/>
      <c r="C109" s="397"/>
      <c r="D109" s="398"/>
      <c r="E109" s="399"/>
      <c r="F109" s="400"/>
      <c r="G109" s="444"/>
      <c r="H109" s="396"/>
      <c r="I109" s="15"/>
    </row>
    <row r="110" spans="1:9" ht="12.75" customHeight="1">
      <c r="A110" s="395"/>
      <c r="B110" s="396"/>
      <c r="C110" s="397"/>
      <c r="D110" s="398"/>
      <c r="E110" s="399"/>
      <c r="F110" s="400"/>
      <c r="G110" s="444"/>
      <c r="H110" s="396"/>
      <c r="I110" s="15"/>
    </row>
    <row r="111" spans="1:9" ht="12.75" customHeight="1">
      <c r="A111" s="395"/>
      <c r="B111" s="396"/>
      <c r="C111" s="397"/>
      <c r="D111" s="398"/>
      <c r="E111" s="399"/>
      <c r="F111" s="400"/>
      <c r="G111" s="444"/>
      <c r="H111" s="396"/>
      <c r="I111" s="15"/>
    </row>
    <row r="112" spans="1:9" ht="12.75" customHeight="1">
      <c r="A112" s="395"/>
      <c r="B112" s="396"/>
      <c r="C112" s="397"/>
      <c r="D112" s="398"/>
      <c r="E112" s="399"/>
      <c r="F112" s="400"/>
      <c r="G112" s="444"/>
      <c r="H112" s="396"/>
      <c r="I112" s="15"/>
    </row>
    <row r="113" spans="1:9" ht="12.75" customHeight="1">
      <c r="A113" s="395"/>
      <c r="B113" s="396"/>
      <c r="C113" s="397"/>
      <c r="D113" s="398"/>
      <c r="E113" s="399"/>
      <c r="F113" s="400"/>
      <c r="G113" s="444"/>
      <c r="H113" s="396"/>
      <c r="I113" s="15"/>
    </row>
    <row r="114" spans="1:9" ht="12.75" customHeight="1">
      <c r="A114" s="395"/>
      <c r="B114" s="396"/>
      <c r="C114" s="397"/>
      <c r="D114" s="398"/>
      <c r="E114" s="399"/>
      <c r="F114" s="400"/>
      <c r="G114" s="444"/>
      <c r="H114" s="396"/>
      <c r="I114" s="15"/>
    </row>
    <row r="115" spans="1:9" ht="12.75" customHeight="1">
      <c r="A115" s="395"/>
      <c r="B115" s="396"/>
      <c r="C115" s="397"/>
      <c r="D115" s="398"/>
      <c r="E115" s="399"/>
      <c r="F115" s="400"/>
      <c r="G115" s="444"/>
      <c r="H115" s="396"/>
      <c r="I115" s="15"/>
    </row>
    <row r="116" spans="1:9" ht="12.75" customHeight="1">
      <c r="A116" s="395"/>
      <c r="B116" s="396"/>
      <c r="C116" s="397"/>
      <c r="D116" s="398"/>
      <c r="E116" s="399"/>
      <c r="F116" s="400"/>
      <c r="G116" s="444"/>
      <c r="H116" s="396"/>
      <c r="I116" s="15"/>
    </row>
    <row r="117" spans="1:9" ht="12.75" customHeight="1">
      <c r="A117" s="395"/>
      <c r="B117" s="396"/>
      <c r="C117" s="397"/>
      <c r="D117" s="398"/>
      <c r="E117" s="399"/>
      <c r="F117" s="400"/>
      <c r="G117" s="444"/>
      <c r="H117" s="396"/>
      <c r="I117" s="15"/>
    </row>
    <row r="118" spans="1:9" ht="12.75" customHeight="1">
      <c r="A118" s="395"/>
      <c r="B118" s="396"/>
      <c r="C118" s="397"/>
      <c r="D118" s="398"/>
      <c r="E118" s="397"/>
      <c r="F118" s="400"/>
      <c r="G118" s="444"/>
      <c r="H118" s="396"/>
      <c r="I118" s="15"/>
    </row>
    <row r="119" spans="1:9" ht="12.75" customHeight="1">
      <c r="A119" s="395"/>
      <c r="B119" s="406"/>
      <c r="C119" s="397"/>
      <c r="D119" s="398"/>
      <c r="E119" s="399"/>
      <c r="F119" s="400"/>
      <c r="G119" s="444"/>
      <c r="H119" s="396"/>
      <c r="I119" s="15"/>
    </row>
    <row r="120" spans="1:9" ht="12.75" customHeight="1">
      <c r="A120" s="395"/>
      <c r="B120" s="406"/>
      <c r="C120" s="407"/>
      <c r="D120" s="408"/>
      <c r="E120" s="409"/>
      <c r="F120" s="394"/>
      <c r="G120" s="444"/>
      <c r="H120" s="396"/>
      <c r="I120" s="15"/>
    </row>
    <row r="121" spans="1:9" ht="12.75" customHeight="1">
      <c r="A121" s="395"/>
      <c r="B121" s="406"/>
      <c r="C121" s="407"/>
      <c r="D121" s="408"/>
      <c r="E121" s="409"/>
      <c r="F121" s="394"/>
      <c r="G121" s="444"/>
      <c r="H121" s="396"/>
      <c r="I121" s="15"/>
    </row>
    <row r="122" spans="1:9" ht="12.75" customHeight="1">
      <c r="A122" s="405"/>
      <c r="B122" s="406"/>
      <c r="C122" s="407"/>
      <c r="D122" s="408"/>
      <c r="E122" s="409"/>
      <c r="F122" s="394"/>
      <c r="G122" s="444"/>
      <c r="H122" s="396"/>
      <c r="I122" s="15"/>
    </row>
    <row r="123" spans="1:9" ht="12.75" customHeight="1">
      <c r="A123" s="405"/>
      <c r="B123" s="406"/>
      <c r="C123" s="407"/>
      <c r="D123" s="408"/>
      <c r="E123" s="409"/>
      <c r="F123" s="394"/>
      <c r="G123" s="444"/>
      <c r="H123" s="396"/>
      <c r="I123" s="15"/>
    </row>
    <row r="124" spans="1:9" ht="12.75" customHeight="1">
      <c r="A124" s="395"/>
      <c r="B124" s="396"/>
      <c r="C124" s="397"/>
      <c r="D124" s="398"/>
      <c r="E124" s="399"/>
      <c r="F124" s="400"/>
      <c r="G124" s="444"/>
      <c r="H124" s="396"/>
      <c r="I124" s="15"/>
    </row>
    <row r="125" spans="1:9" ht="12.75" customHeight="1">
      <c r="A125" s="395"/>
      <c r="B125" s="396"/>
      <c r="C125" s="397"/>
      <c r="D125" s="398"/>
      <c r="E125" s="399"/>
      <c r="F125" s="400"/>
      <c r="G125" s="444"/>
      <c r="H125" s="396"/>
      <c r="I125" s="15"/>
    </row>
    <row r="126" spans="1:9" ht="12.75" customHeight="1">
      <c r="A126" s="395"/>
      <c r="B126" s="406"/>
      <c r="C126" s="397"/>
      <c r="D126" s="398"/>
      <c r="E126" s="409"/>
      <c r="F126" s="394"/>
      <c r="G126" s="444"/>
      <c r="H126" s="396"/>
      <c r="I126" s="15"/>
    </row>
    <row r="127" spans="1:9" ht="12.75" customHeight="1">
      <c r="A127" s="395"/>
      <c r="B127" s="406"/>
      <c r="C127" s="407"/>
      <c r="D127" s="408"/>
      <c r="E127" s="409"/>
      <c r="F127" s="394"/>
      <c r="G127" s="444"/>
      <c r="H127" s="396"/>
      <c r="I127" s="15"/>
    </row>
    <row r="128" spans="1:9" ht="12.75" customHeight="1">
      <c r="A128" s="405"/>
      <c r="B128" s="396"/>
      <c r="C128" s="401"/>
      <c r="D128" s="402"/>
      <c r="E128" s="403"/>
      <c r="F128" s="404"/>
      <c r="G128" s="444"/>
      <c r="H128" s="396"/>
      <c r="I128" s="15"/>
    </row>
    <row r="129" spans="1:9" ht="12.75" customHeight="1">
      <c r="A129" s="405"/>
      <c r="B129" s="406"/>
      <c r="C129" s="407"/>
      <c r="D129" s="408"/>
      <c r="E129" s="409"/>
      <c r="F129" s="394"/>
      <c r="G129" s="444"/>
      <c r="H129" s="396"/>
      <c r="I129" s="15"/>
    </row>
    <row r="130" spans="1:9" ht="12.75" customHeight="1">
      <c r="A130" s="395"/>
      <c r="B130" s="406"/>
      <c r="C130" s="397"/>
      <c r="D130" s="398"/>
      <c r="E130" s="399"/>
      <c r="F130" s="400"/>
      <c r="G130" s="444"/>
      <c r="H130" s="399"/>
      <c r="I130" s="15"/>
    </row>
    <row r="131" spans="1:9" ht="12.75" customHeight="1">
      <c r="A131" s="395"/>
      <c r="B131" s="441"/>
      <c r="C131" s="399"/>
      <c r="D131" s="400"/>
      <c r="E131" s="403"/>
      <c r="F131" s="404"/>
      <c r="G131" s="414"/>
      <c r="H131" s="399"/>
      <c r="I131" s="15"/>
    </row>
    <row r="132" spans="1:9" ht="12.75" customHeight="1">
      <c r="A132" s="395"/>
      <c r="B132" s="441"/>
      <c r="C132" s="409"/>
      <c r="D132" s="394"/>
      <c r="E132" s="409"/>
      <c r="F132" s="394"/>
      <c r="G132" s="414"/>
      <c r="H132" s="399"/>
      <c r="I132" s="15"/>
    </row>
    <row r="133" spans="1:9" ht="12.75" customHeight="1">
      <c r="A133" s="405"/>
      <c r="B133" s="441"/>
      <c r="C133" s="409"/>
      <c r="D133" s="394"/>
      <c r="E133" s="451"/>
      <c r="F133" s="425"/>
      <c r="G133" s="396"/>
      <c r="H133" s="414"/>
      <c r="I133" s="15"/>
    </row>
    <row r="134" spans="1:9" ht="12.75" customHeight="1">
      <c r="A134" s="405"/>
      <c r="B134" s="441"/>
      <c r="C134" s="409"/>
      <c r="D134" s="394"/>
      <c r="E134" s="424"/>
      <c r="F134" s="425"/>
      <c r="G134" s="414"/>
      <c r="H134" s="399"/>
      <c r="I134" s="15"/>
    </row>
    <row r="135" spans="1:9" ht="12.75" customHeight="1">
      <c r="A135" s="454"/>
      <c r="B135" s="481"/>
      <c r="C135" s="482"/>
      <c r="D135" s="483"/>
      <c r="E135" s="484"/>
      <c r="F135" s="485"/>
      <c r="G135" s="445"/>
      <c r="H135" s="442"/>
      <c r="I135" s="15"/>
    </row>
    <row r="136" spans="1:9" ht="12.75" customHeight="1">
      <c r="A136" s="454"/>
      <c r="B136" s="443"/>
      <c r="C136" s="482"/>
      <c r="D136" s="483"/>
      <c r="E136" s="452"/>
      <c r="F136" s="453"/>
      <c r="G136" s="446"/>
      <c r="H136" s="447"/>
      <c r="I136" s="15"/>
    </row>
    <row r="137" spans="1:9" ht="12.75" customHeight="1">
      <c r="A137" s="395"/>
      <c r="B137" s="442"/>
      <c r="C137" s="403"/>
      <c r="D137" s="404"/>
      <c r="E137" s="486"/>
      <c r="F137" s="471"/>
      <c r="G137" s="56"/>
      <c r="H137" s="448"/>
      <c r="I137" s="15"/>
    </row>
    <row r="138" spans="1:9" ht="12.75" customHeight="1">
      <c r="A138" s="434"/>
      <c r="B138" s="455"/>
      <c r="C138" s="456"/>
      <c r="D138" s="457"/>
      <c r="E138" s="455"/>
      <c r="F138" s="487"/>
      <c r="G138" s="457"/>
      <c r="H138" s="458"/>
      <c r="I138" s="15"/>
    </row>
    <row r="139" spans="1:9" ht="12.75" customHeight="1">
      <c r="A139" s="434"/>
      <c r="B139" s="462"/>
      <c r="C139" s="492"/>
      <c r="D139" s="460"/>
      <c r="E139" s="493"/>
      <c r="F139" s="461"/>
      <c r="G139" s="449"/>
      <c r="H139" s="450"/>
      <c r="I139" s="15"/>
    </row>
    <row r="140" spans="1:9" ht="12.75" customHeight="1">
      <c r="A140" s="395"/>
      <c r="B140" s="494"/>
      <c r="C140" s="473"/>
      <c r="D140" s="495"/>
      <c r="E140" s="494"/>
      <c r="F140" s="473"/>
      <c r="G140" s="496"/>
      <c r="H140" s="497"/>
      <c r="I140" s="15"/>
    </row>
    <row r="141" spans="1:9" ht="12.75" customHeight="1">
      <c r="A141" s="395"/>
      <c r="B141" s="488"/>
      <c r="C141" s="489"/>
      <c r="D141" s="490"/>
      <c r="E141" s="419"/>
      <c r="F141" s="415"/>
      <c r="G141" s="444"/>
      <c r="H141" s="491"/>
      <c r="I141" s="15"/>
    </row>
    <row r="142" spans="1:9" ht="12.75" customHeight="1">
      <c r="A142" s="395"/>
      <c r="B142" s="406"/>
      <c r="C142" s="463"/>
      <c r="D142" s="408"/>
      <c r="E142" s="409"/>
      <c r="F142" s="424"/>
      <c r="G142" s="459"/>
      <c r="H142" s="472"/>
      <c r="I142" s="15"/>
    </row>
    <row r="143" spans="1:9" ht="12.75" customHeight="1">
      <c r="A143" s="395"/>
      <c r="B143" s="406"/>
      <c r="C143" s="463"/>
      <c r="D143" s="408"/>
      <c r="E143" s="409"/>
      <c r="F143" s="424"/>
      <c r="G143" s="459"/>
      <c r="H143" s="472"/>
      <c r="I143" s="15"/>
    </row>
    <row r="144" spans="1:9" ht="12.75" customHeight="1">
      <c r="A144" s="395"/>
      <c r="B144" s="396"/>
      <c r="C144" s="397"/>
      <c r="D144" s="398"/>
      <c r="E144" s="399"/>
      <c r="F144" s="400"/>
      <c r="G144" s="382"/>
      <c r="H144" s="380"/>
      <c r="I144" s="15"/>
    </row>
    <row r="145" spans="1:9" ht="12.75" customHeight="1">
      <c r="A145" s="395"/>
      <c r="B145" s="396"/>
      <c r="C145" s="397"/>
      <c r="D145" s="398"/>
      <c r="E145" s="399"/>
      <c r="F145" s="400"/>
      <c r="G145" s="382"/>
      <c r="H145" s="380"/>
      <c r="I145" s="15"/>
    </row>
    <row r="146" spans="1:9" ht="12.75" customHeight="1">
      <c r="A146" s="395"/>
      <c r="B146" s="396"/>
      <c r="C146" s="397"/>
      <c r="D146" s="398"/>
      <c r="E146" s="399"/>
      <c r="F146" s="400"/>
      <c r="G146" s="382"/>
      <c r="H146" s="380"/>
      <c r="I146" s="15"/>
    </row>
    <row r="147" spans="1:9" ht="12.75" customHeight="1">
      <c r="A147" s="395"/>
      <c r="B147" s="396"/>
      <c r="C147" s="397"/>
      <c r="D147" s="398"/>
      <c r="E147" s="399"/>
      <c r="F147" s="400"/>
      <c r="G147" s="382"/>
      <c r="H147" s="380"/>
      <c r="I147" s="15"/>
    </row>
    <row r="148" spans="1:9" ht="12.75" customHeight="1">
      <c r="A148" s="395"/>
      <c r="B148" s="396"/>
      <c r="C148" s="397"/>
      <c r="D148" s="398"/>
      <c r="E148" s="399"/>
      <c r="F148" s="400"/>
      <c r="G148" s="382"/>
      <c r="H148" s="380"/>
      <c r="I148" s="15"/>
    </row>
    <row r="149" spans="1:9" ht="12.75" customHeight="1">
      <c r="A149" s="395"/>
      <c r="B149" s="396"/>
      <c r="C149" s="397"/>
      <c r="D149" s="398"/>
      <c r="E149" s="399"/>
      <c r="F149" s="400"/>
      <c r="G149" s="382"/>
      <c r="H149" s="380"/>
      <c r="I149" s="15"/>
    </row>
    <row r="150" spans="1:9" ht="12.75" customHeight="1">
      <c r="A150" s="395"/>
      <c r="B150" s="396"/>
      <c r="C150" s="397"/>
      <c r="D150" s="398"/>
      <c r="E150" s="399"/>
      <c r="F150" s="400"/>
      <c r="G150" s="382"/>
      <c r="H150" s="380"/>
      <c r="I150" s="15"/>
    </row>
    <row r="151" spans="1:9" ht="12.75" customHeight="1">
      <c r="A151" s="395"/>
      <c r="B151" s="396"/>
      <c r="C151" s="397"/>
      <c r="D151" s="398"/>
      <c r="E151" s="399"/>
      <c r="F151" s="400"/>
      <c r="G151" s="382"/>
      <c r="H151" s="380"/>
      <c r="I151" s="15"/>
    </row>
    <row r="152" spans="1:9" ht="12.75" customHeight="1">
      <c r="A152" s="395"/>
      <c r="B152" s="396"/>
      <c r="C152" s="397"/>
      <c r="D152" s="398"/>
      <c r="E152" s="399"/>
      <c r="F152" s="400"/>
      <c r="G152" s="382"/>
      <c r="H152" s="380"/>
      <c r="I152" s="15"/>
    </row>
    <row r="153" spans="1:9" ht="12.75" customHeight="1">
      <c r="A153" s="395"/>
      <c r="B153" s="396"/>
      <c r="C153" s="397"/>
      <c r="D153" s="398"/>
      <c r="E153" s="399"/>
      <c r="F153" s="400"/>
      <c r="G153" s="382"/>
      <c r="H153" s="380"/>
      <c r="I153" s="15"/>
    </row>
    <row r="154" spans="1:9" ht="12.75" customHeight="1">
      <c r="A154" s="395"/>
      <c r="B154" s="396"/>
      <c r="C154" s="397"/>
      <c r="D154" s="398"/>
      <c r="E154" s="399"/>
      <c r="F154" s="400"/>
      <c r="G154" s="382"/>
      <c r="H154" s="380"/>
      <c r="I154" s="15"/>
    </row>
    <row r="155" spans="1:9" ht="12.75" customHeight="1">
      <c r="A155" s="395"/>
      <c r="B155" s="396"/>
      <c r="C155" s="397"/>
      <c r="D155" s="398"/>
      <c r="E155" s="399"/>
      <c r="F155" s="400"/>
      <c r="G155" s="382"/>
      <c r="H155" s="380"/>
      <c r="I155" s="15"/>
    </row>
    <row r="156" spans="1:9" ht="12.75" customHeight="1">
      <c r="A156" s="395"/>
      <c r="B156" s="396"/>
      <c r="C156" s="397"/>
      <c r="D156" s="398"/>
      <c r="E156" s="399"/>
      <c r="F156" s="400"/>
      <c r="G156" s="382"/>
      <c r="H156" s="380"/>
      <c r="I156" s="15"/>
    </row>
    <row r="157" spans="1:9" ht="12.75" customHeight="1">
      <c r="A157" s="395"/>
      <c r="B157" s="396"/>
      <c r="C157" s="397"/>
      <c r="D157" s="398"/>
      <c r="E157" s="399"/>
      <c r="F157" s="400"/>
      <c r="G157" s="382"/>
      <c r="H157" s="380"/>
      <c r="I157" s="15"/>
    </row>
    <row r="158" spans="1:9" ht="12.75" customHeight="1">
      <c r="A158" s="395"/>
      <c r="B158" s="396"/>
      <c r="C158" s="397"/>
      <c r="D158" s="398"/>
      <c r="E158" s="399"/>
      <c r="F158" s="400"/>
      <c r="G158" s="382"/>
      <c r="H158" s="380"/>
      <c r="I158" s="15"/>
    </row>
    <row r="159" spans="1:9" ht="12.75" customHeight="1">
      <c r="A159" s="395"/>
      <c r="B159" s="396"/>
      <c r="C159" s="397"/>
      <c r="D159" s="398"/>
      <c r="E159" s="399"/>
      <c r="F159" s="400"/>
      <c r="G159" s="382"/>
      <c r="H159" s="380"/>
      <c r="I159" s="15"/>
    </row>
    <row r="160" spans="1:9" ht="12.75" customHeight="1">
      <c r="A160" s="395"/>
      <c r="B160" s="396"/>
      <c r="C160" s="397"/>
      <c r="D160" s="398"/>
      <c r="E160" s="399"/>
      <c r="F160" s="400"/>
      <c r="G160" s="382"/>
      <c r="H160" s="380"/>
      <c r="I160" s="15"/>
    </row>
    <row r="161" spans="1:9" ht="12.75" customHeight="1">
      <c r="A161" s="395"/>
      <c r="B161" s="396"/>
      <c r="C161" s="397"/>
      <c r="D161" s="398"/>
      <c r="E161" s="399"/>
      <c r="F161" s="400"/>
      <c r="G161" s="382"/>
      <c r="H161" s="380"/>
      <c r="I161" s="15"/>
    </row>
    <row r="162" spans="1:9" ht="12.75" customHeight="1">
      <c r="A162" s="395"/>
      <c r="B162" s="396"/>
      <c r="C162" s="397"/>
      <c r="D162" s="398"/>
      <c r="E162" s="399"/>
      <c r="F162" s="400"/>
      <c r="G162" s="382"/>
      <c r="H162" s="380"/>
      <c r="I162" s="15"/>
    </row>
    <row r="163" spans="1:9" ht="12.75" customHeight="1">
      <c r="A163" s="395"/>
      <c r="B163" s="396"/>
      <c r="C163" s="397"/>
      <c r="D163" s="398"/>
      <c r="E163" s="399"/>
      <c r="F163" s="400"/>
      <c r="G163" s="382"/>
      <c r="H163" s="380"/>
      <c r="I163" s="15"/>
    </row>
    <row r="164" spans="1:9" ht="12.75" customHeight="1">
      <c r="A164" s="395"/>
      <c r="B164" s="396"/>
      <c r="C164" s="397"/>
      <c r="D164" s="398"/>
      <c r="E164" s="399"/>
      <c r="F164" s="400"/>
      <c r="G164" s="382"/>
      <c r="H164" s="380"/>
      <c r="I164" s="15"/>
    </row>
    <row r="165" spans="1:9" ht="12.75" customHeight="1">
      <c r="A165" s="395"/>
      <c r="B165" s="396"/>
      <c r="C165" s="397"/>
      <c r="D165" s="398"/>
      <c r="E165" s="399"/>
      <c r="F165" s="400"/>
      <c r="G165" s="382"/>
      <c r="H165" s="380"/>
      <c r="I165" s="15"/>
    </row>
    <row r="166" spans="1:9" ht="12.75" customHeight="1">
      <c r="A166" s="395"/>
      <c r="B166" s="396"/>
      <c r="C166" s="397"/>
      <c r="D166" s="398"/>
      <c r="E166" s="399"/>
      <c r="F166" s="400"/>
      <c r="G166" s="382"/>
      <c r="H166" s="380"/>
      <c r="I166" s="15"/>
    </row>
    <row r="167" spans="1:9" ht="12.75" customHeight="1">
      <c r="A167" s="395"/>
      <c r="B167" s="396"/>
      <c r="C167" s="397"/>
      <c r="D167" s="398"/>
      <c r="E167" s="399"/>
      <c r="F167" s="400"/>
      <c r="G167" s="382"/>
      <c r="H167" s="380"/>
      <c r="I167" s="15"/>
    </row>
    <row r="168" spans="1:9" ht="12.75" customHeight="1">
      <c r="A168" s="395"/>
      <c r="B168" s="396"/>
      <c r="C168" s="397"/>
      <c r="D168" s="398"/>
      <c r="E168" s="399"/>
      <c r="F168" s="400"/>
      <c r="G168" s="382"/>
      <c r="H168" s="380"/>
      <c r="I168" s="15"/>
    </row>
    <row r="169" spans="1:9" ht="12.75" customHeight="1">
      <c r="A169" s="395"/>
      <c r="B169" s="396"/>
      <c r="C169" s="397"/>
      <c r="D169" s="398"/>
      <c r="E169" s="399"/>
      <c r="F169" s="400"/>
      <c r="G169" s="382"/>
      <c r="H169" s="380"/>
      <c r="I169" s="15"/>
    </row>
    <row r="170" spans="1:9" ht="12.75" customHeight="1">
      <c r="A170" s="395"/>
      <c r="B170" s="396"/>
      <c r="C170" s="397"/>
      <c r="D170" s="398"/>
      <c r="E170" s="399"/>
      <c r="F170" s="400"/>
      <c r="G170" s="382"/>
      <c r="H170" s="380"/>
      <c r="I170" s="15"/>
    </row>
    <row r="171" spans="1:9" ht="12.75" customHeight="1">
      <c r="A171" s="395"/>
      <c r="B171" s="396"/>
      <c r="C171" s="397"/>
      <c r="D171" s="398"/>
      <c r="E171" s="399"/>
      <c r="F171" s="400"/>
      <c r="G171" s="382"/>
      <c r="H171" s="380"/>
      <c r="I171" s="15"/>
    </row>
    <row r="172" spans="1:9" ht="12.75" customHeight="1">
      <c r="A172" s="395"/>
      <c r="B172" s="396"/>
      <c r="C172" s="397"/>
      <c r="D172" s="398"/>
      <c r="E172" s="399"/>
      <c r="F172" s="400"/>
      <c r="G172" s="382"/>
      <c r="H172" s="380"/>
      <c r="I172" s="15"/>
    </row>
    <row r="173" spans="1:9" ht="12.75" customHeight="1">
      <c r="A173" s="395"/>
      <c r="B173" s="396"/>
      <c r="C173" s="397"/>
      <c r="D173" s="398"/>
      <c r="E173" s="399"/>
      <c r="F173" s="400"/>
      <c r="G173" s="382"/>
      <c r="H173" s="380"/>
      <c r="I173" s="15"/>
    </row>
    <row r="174" spans="1:9" ht="12.75" customHeight="1">
      <c r="A174" s="395"/>
      <c r="B174" s="396"/>
      <c r="C174" s="397"/>
      <c r="D174" s="398"/>
      <c r="E174" s="399"/>
      <c r="F174" s="400"/>
      <c r="G174" s="382"/>
      <c r="H174" s="380"/>
      <c r="I174" s="15"/>
    </row>
    <row r="175" spans="1:9" ht="12.75" customHeight="1">
      <c r="A175" s="395"/>
      <c r="B175" s="396"/>
      <c r="C175" s="397"/>
      <c r="D175" s="398"/>
      <c r="E175" s="399"/>
      <c r="F175" s="400"/>
      <c r="G175" s="382"/>
      <c r="H175" s="380"/>
      <c r="I175" s="15"/>
    </row>
    <row r="176" spans="1:9" ht="12.75" customHeight="1">
      <c r="A176" s="395"/>
      <c r="B176" s="396"/>
      <c r="C176" s="397"/>
      <c r="D176" s="398"/>
      <c r="E176" s="399"/>
      <c r="F176" s="400"/>
      <c r="G176" s="382"/>
      <c r="H176" s="380"/>
      <c r="I176" s="15"/>
    </row>
    <row r="177" spans="1:9" ht="12.75" customHeight="1">
      <c r="A177" s="395"/>
      <c r="B177" s="396"/>
      <c r="C177" s="397"/>
      <c r="D177" s="398"/>
      <c r="E177" s="399"/>
      <c r="F177" s="400"/>
      <c r="G177" s="382"/>
      <c r="H177" s="380"/>
      <c r="I177" s="15"/>
    </row>
    <row r="178" spans="1:9" ht="12.75" customHeight="1">
      <c r="A178" s="395"/>
      <c r="B178" s="396"/>
      <c r="C178" s="397"/>
      <c r="D178" s="398"/>
      <c r="E178" s="399"/>
      <c r="F178" s="400"/>
      <c r="G178" s="382"/>
      <c r="H178" s="380"/>
      <c r="I178" s="15"/>
    </row>
    <row r="179" spans="1:9" ht="12.75" customHeight="1">
      <c r="A179" s="395"/>
      <c r="B179" s="396"/>
      <c r="C179" s="397"/>
      <c r="D179" s="398"/>
      <c r="E179" s="399"/>
      <c r="F179" s="400"/>
      <c r="G179" s="382"/>
      <c r="H179" s="380"/>
      <c r="I179" s="15"/>
    </row>
    <row r="180" spans="1:9" ht="12.75" customHeight="1">
      <c r="A180" s="395"/>
      <c r="B180" s="396"/>
      <c r="C180" s="401"/>
      <c r="D180" s="402"/>
      <c r="E180" s="403"/>
      <c r="F180" s="404"/>
      <c r="G180" s="382"/>
      <c r="H180" s="380"/>
      <c r="I180" s="15"/>
    </row>
    <row r="181" spans="1:9" ht="12.75" customHeight="1">
      <c r="A181" s="395"/>
      <c r="B181" s="396"/>
      <c r="C181" s="401"/>
      <c r="D181" s="402"/>
      <c r="E181" s="401"/>
      <c r="F181" s="404"/>
      <c r="G181" s="382"/>
      <c r="H181" s="380"/>
      <c r="I181" s="15"/>
    </row>
    <row r="182" spans="1:9" ht="12.75" customHeight="1">
      <c r="A182" s="405"/>
      <c r="B182" s="406"/>
      <c r="C182" s="407"/>
      <c r="D182" s="408"/>
      <c r="E182" s="409"/>
      <c r="F182" s="394"/>
      <c r="G182" s="382"/>
      <c r="H182" s="380"/>
      <c r="I182" s="15"/>
    </row>
    <row r="183" spans="1:9" ht="12.75" customHeight="1">
      <c r="A183" s="395"/>
      <c r="B183" s="396"/>
      <c r="C183" s="397"/>
      <c r="D183" s="398"/>
      <c r="E183" s="399"/>
      <c r="F183" s="400"/>
      <c r="G183" s="382"/>
      <c r="H183" s="380"/>
      <c r="I183" s="15"/>
    </row>
    <row r="184" spans="1:9" ht="12.75" customHeight="1">
      <c r="A184" s="395"/>
      <c r="B184" s="396"/>
      <c r="C184" s="397"/>
      <c r="D184" s="398"/>
      <c r="E184" s="399"/>
      <c r="F184" s="400"/>
      <c r="G184" s="382"/>
      <c r="H184" s="380"/>
      <c r="I184" s="15"/>
    </row>
    <row r="185" spans="1:9" ht="12.75" customHeight="1">
      <c r="A185" s="395"/>
      <c r="B185" s="396"/>
      <c r="C185" s="397"/>
      <c r="D185" s="398"/>
      <c r="E185" s="403"/>
      <c r="F185" s="404"/>
      <c r="G185" s="382"/>
      <c r="H185" s="380"/>
      <c r="I185" s="15"/>
    </row>
    <row r="186" spans="1:9" ht="12.75" customHeight="1">
      <c r="A186" s="395"/>
      <c r="B186" s="396"/>
      <c r="C186" s="401"/>
      <c r="D186" s="402"/>
      <c r="E186" s="403"/>
      <c r="F186" s="404"/>
      <c r="G186" s="382"/>
      <c r="H186" s="380"/>
      <c r="I186" s="15"/>
    </row>
    <row r="187" spans="1:9" ht="12.75" customHeight="1">
      <c r="A187" s="395"/>
      <c r="B187" s="396"/>
      <c r="C187" s="401"/>
      <c r="D187" s="402"/>
      <c r="E187" s="403"/>
      <c r="F187" s="404"/>
      <c r="G187" s="382"/>
      <c r="H187" s="380"/>
      <c r="I187" s="15"/>
    </row>
    <row r="188" spans="1:9" ht="12.75" customHeight="1">
      <c r="A188" s="395"/>
      <c r="B188" s="396"/>
      <c r="C188" s="407"/>
      <c r="D188" s="408"/>
      <c r="E188" s="409"/>
      <c r="F188" s="394"/>
      <c r="G188" s="382"/>
      <c r="H188" s="380"/>
      <c r="I188" s="15"/>
    </row>
    <row r="189" spans="1:9" ht="12.75" customHeight="1">
      <c r="A189" s="395"/>
      <c r="B189" s="396"/>
      <c r="C189" s="397"/>
      <c r="D189" s="398"/>
      <c r="E189" s="399"/>
      <c r="F189" s="400"/>
      <c r="G189" s="382"/>
      <c r="H189" s="380"/>
      <c r="I189" s="15"/>
    </row>
    <row r="190" spans="1:9" ht="12.75" customHeight="1">
      <c r="A190" s="395"/>
      <c r="B190" s="396"/>
      <c r="C190" s="397"/>
      <c r="D190" s="398"/>
      <c r="E190" s="403"/>
      <c r="F190" s="404"/>
      <c r="G190" s="382"/>
      <c r="H190" s="380"/>
      <c r="I190" s="15"/>
    </row>
    <row r="191" spans="1:9" ht="12.75" customHeight="1">
      <c r="A191" s="395"/>
      <c r="B191" s="396"/>
      <c r="C191" s="401"/>
      <c r="D191" s="402"/>
      <c r="E191" s="403"/>
      <c r="F191" s="404"/>
      <c r="G191" s="382"/>
      <c r="H191" s="380"/>
      <c r="I191" s="15"/>
    </row>
    <row r="192" spans="1:9" ht="12.75" customHeight="1">
      <c r="A192" s="395"/>
      <c r="B192" s="396"/>
      <c r="C192" s="401"/>
      <c r="D192" s="402"/>
      <c r="E192" s="410"/>
      <c r="F192" s="411"/>
      <c r="G192" s="382"/>
      <c r="H192" s="380"/>
      <c r="I192" s="15"/>
    </row>
    <row r="193" spans="1:9" ht="12.75" customHeight="1">
      <c r="A193" s="405"/>
      <c r="B193" s="406"/>
      <c r="C193" s="407"/>
      <c r="D193" s="408"/>
      <c r="E193" s="409"/>
      <c r="F193" s="394"/>
      <c r="G193" s="412"/>
      <c r="H193" s="413"/>
      <c r="I193" s="15"/>
    </row>
    <row r="194" spans="1:9" ht="12.75" customHeight="1">
      <c r="A194" s="395"/>
      <c r="B194" s="414"/>
      <c r="C194" s="399"/>
      <c r="D194" s="400"/>
      <c r="E194" s="415"/>
      <c r="F194" s="416"/>
      <c r="G194" s="417"/>
      <c r="H194" s="413"/>
      <c r="I194" s="15"/>
    </row>
    <row r="195" spans="1:9" ht="12.75" customHeight="1">
      <c r="A195" s="395"/>
      <c r="B195" s="414"/>
      <c r="C195" s="399"/>
      <c r="D195" s="400"/>
      <c r="E195" s="410"/>
      <c r="F195" s="411"/>
      <c r="G195" s="417"/>
      <c r="H195" s="413"/>
      <c r="I195" s="15"/>
    </row>
    <row r="196" spans="1:9" ht="12.75" customHeight="1">
      <c r="A196" s="395"/>
      <c r="B196" s="414"/>
      <c r="C196" s="403"/>
      <c r="D196" s="404"/>
      <c r="E196" s="418"/>
      <c r="F196" s="404"/>
      <c r="G196" s="41"/>
      <c r="H196" s="414"/>
      <c r="I196" s="15"/>
    </row>
    <row r="197" spans="1:9" ht="12.75" customHeight="1">
      <c r="A197" s="395"/>
      <c r="B197" s="414"/>
      <c r="C197" s="403"/>
      <c r="D197" s="404"/>
      <c r="E197" s="410"/>
      <c r="F197" s="404"/>
      <c r="G197" s="417"/>
      <c r="H197" s="413"/>
      <c r="I197" s="15"/>
    </row>
    <row r="198" spans="1:9" ht="12.75" customHeight="1">
      <c r="A198" s="395"/>
      <c r="B198" s="419"/>
      <c r="C198" s="410"/>
      <c r="D198" s="416"/>
      <c r="E198" s="420"/>
      <c r="F198" s="415"/>
      <c r="G198" s="421"/>
      <c r="H198" s="422"/>
      <c r="I198" s="15"/>
    </row>
    <row r="199" spans="1:9" ht="12.75" customHeight="1">
      <c r="A199" s="405"/>
      <c r="B199" s="423"/>
      <c r="C199" s="424"/>
      <c r="D199" s="425"/>
      <c r="E199" s="423"/>
      <c r="F199" s="424"/>
      <c r="G199" s="426"/>
      <c r="H199" s="427"/>
      <c r="I199" s="15"/>
    </row>
    <row r="200" spans="1:9" ht="12.75" customHeight="1">
      <c r="A200" s="389"/>
      <c r="B200" s="428"/>
      <c r="C200" s="429"/>
      <c r="D200" s="416"/>
      <c r="E200" s="430"/>
      <c r="F200" s="431"/>
      <c r="G200" s="432"/>
      <c r="H200" s="433"/>
      <c r="I200" s="434"/>
    </row>
    <row r="201" spans="1:9" ht="12.75" customHeight="1">
      <c r="A201" s="435"/>
      <c r="B201" s="436"/>
      <c r="C201" s="437"/>
      <c r="D201" s="438"/>
      <c r="E201" s="437"/>
      <c r="F201" s="438"/>
      <c r="G201" s="438"/>
      <c r="H201" s="439"/>
      <c r="I201" s="440"/>
    </row>
    <row r="202" spans="1:9" ht="12.75" customHeight="1">
      <c r="A202" s="435"/>
      <c r="B202" s="436"/>
      <c r="C202" s="437"/>
      <c r="D202" s="438"/>
      <c r="E202" s="437"/>
      <c r="F202" s="438"/>
      <c r="G202" s="438"/>
      <c r="H202" s="439"/>
      <c r="I202" s="440"/>
    </row>
    <row r="203" ht="12.75" customHeight="1">
      <c r="I203" s="377"/>
    </row>
    <row r="204" ht="12.75" customHeight="1">
      <c r="I204" s="377"/>
    </row>
  </sheetData>
  <sheetProtection/>
  <mergeCells count="1">
    <mergeCell ref="C7:D7"/>
  </mergeCells>
  <printOptions/>
  <pageMargins left="0.67" right="0.2" top="0.25" bottom="0.25" header="0.34" footer="0.3"/>
  <pageSetup horizontalDpi="600" verticalDpi="6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5">
      <selection activeCell="D33" sqref="D33"/>
    </sheetView>
  </sheetViews>
  <sheetFormatPr defaultColWidth="9.140625" defaultRowHeight="12.75" customHeight="1"/>
  <cols>
    <col min="1" max="1" width="29.140625" style="378" customWidth="1"/>
    <col min="2" max="2" width="7.8515625" style="31" customWidth="1"/>
    <col min="3" max="3" width="10.57421875" style="360" customWidth="1"/>
    <col min="4" max="4" width="6.28125" style="31" customWidth="1"/>
    <col min="5" max="5" width="10.28125" style="244" customWidth="1"/>
    <col min="6" max="6" width="7.8515625" style="31" customWidth="1"/>
    <col min="7" max="7" width="11.28125" style="360" customWidth="1"/>
    <col min="8" max="8" width="15.8515625" style="48" customWidth="1"/>
    <col min="9" max="9" width="9.7109375" style="48" customWidth="1"/>
    <col min="10" max="14" width="8.8515625" style="378" customWidth="1"/>
    <col min="15" max="15" width="12.7109375" style="378" bestFit="1" customWidth="1"/>
    <col min="16" max="16384" width="8.8515625" style="378" customWidth="1"/>
  </cols>
  <sheetData>
    <row r="1" spans="1:10" ht="12.75" customHeight="1">
      <c r="A1" s="556" t="s">
        <v>1387</v>
      </c>
      <c r="B1" s="557"/>
      <c r="C1" s="558"/>
      <c r="D1" s="557"/>
      <c r="E1" s="559"/>
      <c r="F1" s="557"/>
      <c r="G1" s="558"/>
      <c r="H1" s="560"/>
      <c r="I1" s="560"/>
      <c r="J1" s="262"/>
    </row>
    <row r="2" spans="1:10" ht="12.75" customHeight="1">
      <c r="A2" s="556" t="s">
        <v>1426</v>
      </c>
      <c r="B2" s="557"/>
      <c r="C2" s="558"/>
      <c r="D2" s="557"/>
      <c r="E2" s="559"/>
      <c r="F2" s="557"/>
      <c r="G2" s="558"/>
      <c r="H2" s="560"/>
      <c r="I2" s="560"/>
      <c r="J2" s="262"/>
    </row>
    <row r="3" spans="1:10" ht="12.75" customHeight="1">
      <c r="A3" s="556" t="s">
        <v>110</v>
      </c>
      <c r="B3" s="557"/>
      <c r="C3" s="558"/>
      <c r="D3" s="557"/>
      <c r="E3" s="559"/>
      <c r="F3" s="557"/>
      <c r="G3" s="558"/>
      <c r="H3" s="560"/>
      <c r="I3" s="560"/>
      <c r="J3" s="262"/>
    </row>
    <row r="4" spans="1:10" ht="12.75" customHeight="1">
      <c r="A4" s="556" t="s">
        <v>5</v>
      </c>
      <c r="B4" s="557"/>
      <c r="C4" s="558"/>
      <c r="D4" s="557"/>
      <c r="E4" s="559"/>
      <c r="F4" s="557"/>
      <c r="G4" s="558"/>
      <c r="H4" s="560"/>
      <c r="I4" s="560"/>
      <c r="J4" s="262"/>
    </row>
    <row r="5" spans="1:10" ht="12.75" customHeight="1">
      <c r="A5" s="556" t="s">
        <v>6</v>
      </c>
      <c r="B5" s="557"/>
      <c r="C5" s="558"/>
      <c r="D5" s="557"/>
      <c r="E5" s="561"/>
      <c r="F5" s="557"/>
      <c r="G5" s="558"/>
      <c r="H5" s="560"/>
      <c r="I5" s="560"/>
      <c r="J5" s="262"/>
    </row>
    <row r="6" spans="1:10" ht="12.75" customHeight="1">
      <c r="A6" s="556" t="s">
        <v>111</v>
      </c>
      <c r="B6" s="557"/>
      <c r="C6" s="558"/>
      <c r="D6" s="557"/>
      <c r="E6" s="559"/>
      <c r="F6" s="557"/>
      <c r="G6" s="558"/>
      <c r="H6" s="560"/>
      <c r="I6" s="560"/>
      <c r="J6" s="262"/>
    </row>
    <row r="7" spans="1:10" ht="12.75" customHeight="1">
      <c r="A7" s="556" t="s">
        <v>112</v>
      </c>
      <c r="B7" s="557"/>
      <c r="C7" s="558"/>
      <c r="D7" s="557"/>
      <c r="E7" s="562" t="s">
        <v>113</v>
      </c>
      <c r="F7" s="557"/>
      <c r="G7" s="558"/>
      <c r="H7" s="560"/>
      <c r="I7" s="560"/>
      <c r="J7" s="262"/>
    </row>
    <row r="8" spans="1:10" ht="12.75" customHeight="1">
      <c r="A8" s="563" t="s">
        <v>1427</v>
      </c>
      <c r="B8" s="564"/>
      <c r="C8" s="565"/>
      <c r="D8" s="564"/>
      <c r="E8" s="566"/>
      <c r="F8" s="564"/>
      <c r="G8" s="565"/>
      <c r="H8" s="567"/>
      <c r="I8" s="567"/>
      <c r="J8" s="262"/>
    </row>
    <row r="9" spans="1:10" ht="12.75" customHeight="1">
      <c r="A9" s="509"/>
      <c r="B9" s="568" t="s">
        <v>45</v>
      </c>
      <c r="C9" s="510"/>
      <c r="D9" s="568" t="s">
        <v>46</v>
      </c>
      <c r="E9" s="510"/>
      <c r="F9" s="568"/>
      <c r="G9" s="569" t="s">
        <v>47</v>
      </c>
      <c r="H9" s="511"/>
      <c r="I9" s="511"/>
      <c r="J9" s="262"/>
    </row>
    <row r="10" spans="1:10" ht="12.75" customHeight="1">
      <c r="A10" s="570" t="s">
        <v>461</v>
      </c>
      <c r="B10" s="571" t="s">
        <v>49</v>
      </c>
      <c r="C10" s="572" t="s">
        <v>50</v>
      </c>
      <c r="D10" s="571" t="s">
        <v>49</v>
      </c>
      <c r="E10" s="572" t="s">
        <v>50</v>
      </c>
      <c r="F10" s="571" t="s">
        <v>49</v>
      </c>
      <c r="G10" s="572" t="s">
        <v>50</v>
      </c>
      <c r="H10" s="573" t="s">
        <v>51</v>
      </c>
      <c r="I10" s="573" t="s">
        <v>52</v>
      </c>
      <c r="J10" s="262"/>
    </row>
    <row r="11" spans="1:10" ht="12.75" customHeight="1">
      <c r="A11" s="574" t="s">
        <v>466</v>
      </c>
      <c r="B11" s="511"/>
      <c r="C11" s="569">
        <v>0</v>
      </c>
      <c r="D11" s="568"/>
      <c r="E11" s="569"/>
      <c r="F11" s="568"/>
      <c r="G11" s="569"/>
      <c r="H11" s="578"/>
      <c r="I11" s="578"/>
      <c r="J11" s="262"/>
    </row>
    <row r="12" spans="1:10" ht="12.75" customHeight="1">
      <c r="A12" s="509" t="s">
        <v>14</v>
      </c>
      <c r="B12" s="578">
        <f aca="true" t="shared" si="0" ref="B12:H12">SUM(B11)</f>
        <v>0</v>
      </c>
      <c r="C12" s="569">
        <f t="shared" si="0"/>
        <v>0</v>
      </c>
      <c r="D12" s="568">
        <f t="shared" si="0"/>
        <v>0</v>
      </c>
      <c r="E12" s="569">
        <f t="shared" si="0"/>
        <v>0</v>
      </c>
      <c r="F12" s="568">
        <f t="shared" si="0"/>
        <v>0</v>
      </c>
      <c r="G12" s="569">
        <f t="shared" si="0"/>
        <v>0</v>
      </c>
      <c r="H12" s="578">
        <f t="shared" si="0"/>
        <v>0</v>
      </c>
      <c r="I12" s="578" t="e">
        <f>H12/G12</f>
        <v>#DIV/0!</v>
      </c>
      <c r="J12" s="262"/>
    </row>
    <row r="13" spans="1:10" ht="12.75" customHeight="1">
      <c r="A13" s="570" t="s">
        <v>462</v>
      </c>
      <c r="B13" s="571" t="s">
        <v>49</v>
      </c>
      <c r="C13" s="572" t="s">
        <v>50</v>
      </c>
      <c r="D13" s="571" t="s">
        <v>49</v>
      </c>
      <c r="E13" s="572" t="s">
        <v>50</v>
      </c>
      <c r="F13" s="571" t="s">
        <v>49</v>
      </c>
      <c r="G13" s="572" t="s">
        <v>50</v>
      </c>
      <c r="H13" s="573" t="s">
        <v>51</v>
      </c>
      <c r="I13" s="573" t="s">
        <v>52</v>
      </c>
      <c r="J13" s="262"/>
    </row>
    <row r="14" spans="1:10" ht="12.75" customHeight="1">
      <c r="A14" s="581" t="s">
        <v>53</v>
      </c>
      <c r="B14" s="568">
        <v>405</v>
      </c>
      <c r="C14" s="569">
        <v>20190</v>
      </c>
      <c r="D14" s="568">
        <v>20</v>
      </c>
      <c r="E14" s="569">
        <v>998.4</v>
      </c>
      <c r="F14" s="568">
        <v>425</v>
      </c>
      <c r="G14" s="569">
        <v>21188.4</v>
      </c>
      <c r="H14" s="578" t="s">
        <v>1428</v>
      </c>
      <c r="I14" s="578">
        <v>162.45</v>
      </c>
      <c r="J14" s="262"/>
    </row>
    <row r="15" spans="1:10" ht="12.75" customHeight="1">
      <c r="A15" s="581" t="s">
        <v>572</v>
      </c>
      <c r="B15" s="568">
        <v>10</v>
      </c>
      <c r="C15" s="569">
        <v>498.5</v>
      </c>
      <c r="D15" s="568">
        <v>0</v>
      </c>
      <c r="E15" s="569">
        <v>0</v>
      </c>
      <c r="F15" s="568">
        <v>10</v>
      </c>
      <c r="G15" s="569">
        <v>498.5</v>
      </c>
      <c r="H15" s="578" t="s">
        <v>697</v>
      </c>
      <c r="I15" s="578">
        <v>210</v>
      </c>
      <c r="J15" s="262"/>
    </row>
    <row r="16" spans="1:10" ht="12.75" customHeight="1">
      <c r="A16" s="581" t="s">
        <v>322</v>
      </c>
      <c r="B16" s="568">
        <v>10</v>
      </c>
      <c r="C16" s="569">
        <v>498.5</v>
      </c>
      <c r="D16" s="568">
        <v>0</v>
      </c>
      <c r="E16" s="569">
        <v>0</v>
      </c>
      <c r="F16" s="568">
        <v>10</v>
      </c>
      <c r="G16" s="569">
        <v>498.5</v>
      </c>
      <c r="H16" s="578">
        <v>65802</v>
      </c>
      <c r="I16" s="578">
        <v>132</v>
      </c>
      <c r="J16" s="262"/>
    </row>
    <row r="17" spans="1:10" ht="12.75" customHeight="1">
      <c r="A17" s="581" t="s">
        <v>469</v>
      </c>
      <c r="B17" s="568"/>
      <c r="C17" s="569">
        <v>0</v>
      </c>
      <c r="D17" s="568">
        <v>20</v>
      </c>
      <c r="E17" s="569">
        <v>996</v>
      </c>
      <c r="F17" s="568">
        <v>20</v>
      </c>
      <c r="G17" s="569">
        <v>996</v>
      </c>
      <c r="H17" s="578" t="s">
        <v>1429</v>
      </c>
      <c r="I17" s="578">
        <v>134.54</v>
      </c>
      <c r="J17" s="262"/>
    </row>
    <row r="18" spans="1:10" ht="12.75" customHeight="1">
      <c r="A18" s="581" t="s">
        <v>171</v>
      </c>
      <c r="B18" s="568"/>
      <c r="C18" s="569">
        <v>0</v>
      </c>
      <c r="D18" s="568">
        <v>30</v>
      </c>
      <c r="E18" s="569">
        <v>1496.1</v>
      </c>
      <c r="F18" s="568">
        <v>30</v>
      </c>
      <c r="G18" s="569">
        <v>1496.1</v>
      </c>
      <c r="H18" s="578" t="s">
        <v>1430</v>
      </c>
      <c r="I18" s="578">
        <v>140.81</v>
      </c>
      <c r="J18" s="262"/>
    </row>
    <row r="19" spans="1:10" ht="12.75" customHeight="1">
      <c r="A19" s="581" t="s">
        <v>171</v>
      </c>
      <c r="B19" s="568">
        <v>40</v>
      </c>
      <c r="C19" s="569">
        <v>1989.5</v>
      </c>
      <c r="D19" s="568">
        <v>0</v>
      </c>
      <c r="E19" s="569">
        <v>0</v>
      </c>
      <c r="F19" s="568">
        <v>40</v>
      </c>
      <c r="G19" s="569">
        <v>1989.5</v>
      </c>
      <c r="H19" s="578" t="s">
        <v>1431</v>
      </c>
      <c r="I19" s="578">
        <v>149.04</v>
      </c>
      <c r="J19" s="262"/>
    </row>
    <row r="20" spans="1:10" ht="12.75" customHeight="1">
      <c r="A20" s="581" t="s">
        <v>640</v>
      </c>
      <c r="B20" s="568"/>
      <c r="C20" s="569">
        <v>0</v>
      </c>
      <c r="D20" s="568">
        <v>15</v>
      </c>
      <c r="E20" s="569">
        <v>748.4</v>
      </c>
      <c r="F20" s="568">
        <v>15</v>
      </c>
      <c r="G20" s="569">
        <v>748.4</v>
      </c>
      <c r="H20" s="578" t="s">
        <v>1432</v>
      </c>
      <c r="I20" s="578">
        <v>158.65</v>
      </c>
      <c r="J20" s="262"/>
    </row>
    <row r="21" spans="1:10" ht="12.75" customHeight="1">
      <c r="A21" s="581" t="s">
        <v>57</v>
      </c>
      <c r="B21" s="568">
        <v>200</v>
      </c>
      <c r="C21" s="569">
        <v>9970</v>
      </c>
      <c r="D21" s="568">
        <v>0</v>
      </c>
      <c r="E21" s="569">
        <v>0</v>
      </c>
      <c r="F21" s="568">
        <v>200</v>
      </c>
      <c r="G21" s="569">
        <v>9970</v>
      </c>
      <c r="H21" s="578" t="s">
        <v>1433</v>
      </c>
      <c r="I21" s="578">
        <v>119.95</v>
      </c>
      <c r="J21" s="262"/>
    </row>
    <row r="22" spans="1:10" ht="12.75" customHeight="1">
      <c r="A22" s="581" t="s">
        <v>174</v>
      </c>
      <c r="B22" s="568">
        <v>50</v>
      </c>
      <c r="C22" s="569">
        <v>2483.5</v>
      </c>
      <c r="D22" s="568">
        <v>0</v>
      </c>
      <c r="E22" s="569">
        <v>0</v>
      </c>
      <c r="F22" s="568">
        <v>50</v>
      </c>
      <c r="G22" s="569">
        <v>2483.5</v>
      </c>
      <c r="H22" s="578" t="s">
        <v>1434</v>
      </c>
      <c r="I22" s="578">
        <v>141.88</v>
      </c>
      <c r="J22" s="262"/>
    </row>
    <row r="23" spans="1:10" ht="12.75" customHeight="1">
      <c r="A23" s="581" t="s">
        <v>176</v>
      </c>
      <c r="B23" s="568">
        <v>55</v>
      </c>
      <c r="C23" s="569">
        <v>2750</v>
      </c>
      <c r="D23" s="568">
        <v>50</v>
      </c>
      <c r="E23" s="569">
        <v>2493.6</v>
      </c>
      <c r="F23" s="568">
        <v>105</v>
      </c>
      <c r="G23" s="569">
        <v>5243.6</v>
      </c>
      <c r="H23" s="578" t="s">
        <v>1435</v>
      </c>
      <c r="I23" s="578">
        <v>158.55</v>
      </c>
      <c r="J23" s="262"/>
    </row>
    <row r="24" spans="1:10" ht="12.75" customHeight="1">
      <c r="A24" s="581" t="s">
        <v>130</v>
      </c>
      <c r="B24" s="568">
        <v>30</v>
      </c>
      <c r="C24" s="569">
        <v>1495.5</v>
      </c>
      <c r="D24" s="568">
        <v>0</v>
      </c>
      <c r="E24" s="569">
        <v>0</v>
      </c>
      <c r="F24" s="568">
        <v>30</v>
      </c>
      <c r="G24" s="569">
        <v>1495.5</v>
      </c>
      <c r="H24" s="578" t="s">
        <v>1436</v>
      </c>
      <c r="I24" s="578">
        <v>112</v>
      </c>
      <c r="J24" s="262"/>
    </row>
    <row r="25" spans="1:10" ht="12.75" customHeight="1">
      <c r="A25" s="581" t="s">
        <v>475</v>
      </c>
      <c r="B25" s="568">
        <v>70</v>
      </c>
      <c r="C25" s="569">
        <v>3494</v>
      </c>
      <c r="D25" s="568">
        <v>0</v>
      </c>
      <c r="E25" s="569">
        <v>0</v>
      </c>
      <c r="F25" s="568">
        <v>70</v>
      </c>
      <c r="G25" s="569">
        <v>3494</v>
      </c>
      <c r="H25" s="578" t="s">
        <v>1437</v>
      </c>
      <c r="I25" s="578">
        <v>172.02</v>
      </c>
      <c r="J25" s="262"/>
    </row>
    <row r="26" spans="1:10" ht="12.75" customHeight="1">
      <c r="A26" s="581" t="s">
        <v>61</v>
      </c>
      <c r="B26" s="568">
        <v>61</v>
      </c>
      <c r="C26" s="569">
        <v>3014</v>
      </c>
      <c r="D26" s="568">
        <v>0</v>
      </c>
      <c r="E26" s="569">
        <v>0</v>
      </c>
      <c r="F26" s="568">
        <v>61</v>
      </c>
      <c r="G26" s="569">
        <v>3014</v>
      </c>
      <c r="H26" s="578" t="s">
        <v>1438</v>
      </c>
      <c r="I26" s="578">
        <v>94.88</v>
      </c>
      <c r="J26" s="262"/>
    </row>
    <row r="27" spans="1:10" ht="12.75" customHeight="1">
      <c r="A27" s="581" t="s">
        <v>872</v>
      </c>
      <c r="B27" s="568"/>
      <c r="C27" s="569">
        <v>0</v>
      </c>
      <c r="D27" s="568">
        <v>5</v>
      </c>
      <c r="E27" s="569">
        <v>250</v>
      </c>
      <c r="F27" s="568">
        <v>5</v>
      </c>
      <c r="G27" s="569">
        <v>250</v>
      </c>
      <c r="H27" s="578">
        <v>41250</v>
      </c>
      <c r="I27" s="578">
        <v>165</v>
      </c>
      <c r="J27" s="262"/>
    </row>
    <row r="28" spans="1:10" ht="12.75" customHeight="1">
      <c r="A28" s="581" t="s">
        <v>329</v>
      </c>
      <c r="B28" s="568">
        <v>20</v>
      </c>
      <c r="C28" s="569">
        <v>994</v>
      </c>
      <c r="D28" s="568">
        <v>0</v>
      </c>
      <c r="E28" s="569">
        <v>0</v>
      </c>
      <c r="F28" s="568">
        <v>20</v>
      </c>
      <c r="G28" s="569">
        <v>994</v>
      </c>
      <c r="H28" s="578" t="s">
        <v>1439</v>
      </c>
      <c r="I28" s="578">
        <v>213.49</v>
      </c>
      <c r="J28" s="262"/>
    </row>
    <row r="29" spans="1:10" ht="12.75" customHeight="1">
      <c r="A29" s="581" t="s">
        <v>67</v>
      </c>
      <c r="B29" s="568">
        <v>60</v>
      </c>
      <c r="C29" s="569">
        <v>2994</v>
      </c>
      <c r="D29" s="568">
        <v>60</v>
      </c>
      <c r="E29" s="569">
        <v>2995.2</v>
      </c>
      <c r="F29" s="568">
        <v>120</v>
      </c>
      <c r="G29" s="569">
        <v>5989.2</v>
      </c>
      <c r="H29" s="578" t="s">
        <v>1440</v>
      </c>
      <c r="I29" s="578">
        <v>148.91</v>
      </c>
      <c r="J29" s="262"/>
    </row>
    <row r="30" spans="1:10" ht="12.75" customHeight="1">
      <c r="A30" s="581" t="s">
        <v>71</v>
      </c>
      <c r="B30" s="568">
        <v>1550</v>
      </c>
      <c r="C30" s="569">
        <v>77369.5</v>
      </c>
      <c r="D30" s="568">
        <v>110</v>
      </c>
      <c r="E30" s="569">
        <v>5491</v>
      </c>
      <c r="F30" s="568">
        <v>1660</v>
      </c>
      <c r="G30" s="569">
        <v>82860.5</v>
      </c>
      <c r="H30" s="578" t="s">
        <v>1441</v>
      </c>
      <c r="I30" s="578">
        <v>155.22</v>
      </c>
      <c r="J30" s="262"/>
    </row>
    <row r="31" spans="1:10" ht="12.75" customHeight="1">
      <c r="A31" s="581" t="s">
        <v>1019</v>
      </c>
      <c r="B31" s="568">
        <v>20</v>
      </c>
      <c r="C31" s="569">
        <v>992.5</v>
      </c>
      <c r="D31" s="568">
        <v>40</v>
      </c>
      <c r="E31" s="569">
        <v>1995.2</v>
      </c>
      <c r="F31" s="568">
        <v>60</v>
      </c>
      <c r="G31" s="569">
        <v>2987.7</v>
      </c>
      <c r="H31" s="578" t="s">
        <v>1442</v>
      </c>
      <c r="I31" s="578">
        <v>121.27</v>
      </c>
      <c r="J31" s="262"/>
    </row>
    <row r="32" spans="1:10" ht="12.75" customHeight="1">
      <c r="A32" s="581" t="s">
        <v>73</v>
      </c>
      <c r="B32" s="568">
        <v>100</v>
      </c>
      <c r="C32" s="569">
        <v>4989.5</v>
      </c>
      <c r="D32" s="568">
        <v>0</v>
      </c>
      <c r="E32" s="569">
        <v>0</v>
      </c>
      <c r="F32" s="568">
        <v>100</v>
      </c>
      <c r="G32" s="569">
        <v>4989.5</v>
      </c>
      <c r="H32" s="578" t="s">
        <v>1443</v>
      </c>
      <c r="I32" s="578">
        <v>75.5</v>
      </c>
      <c r="J32" s="262"/>
    </row>
    <row r="33" spans="1:10" ht="12.75" customHeight="1">
      <c r="A33" s="581" t="s">
        <v>75</v>
      </c>
      <c r="B33" s="568">
        <v>45</v>
      </c>
      <c r="C33" s="569">
        <v>2239.5</v>
      </c>
      <c r="D33" s="568">
        <v>0</v>
      </c>
      <c r="E33" s="569">
        <v>0</v>
      </c>
      <c r="F33" s="568">
        <v>45</v>
      </c>
      <c r="G33" s="569">
        <v>2239.5</v>
      </c>
      <c r="H33" s="578">
        <v>247081.5</v>
      </c>
      <c r="I33" s="578">
        <v>110.32886805090422</v>
      </c>
      <c r="J33" s="262"/>
    </row>
    <row r="34" spans="1:10" ht="12.75" customHeight="1">
      <c r="A34" s="581" t="s">
        <v>77</v>
      </c>
      <c r="B34" s="568">
        <v>55</v>
      </c>
      <c r="C34" s="569">
        <v>2742.5</v>
      </c>
      <c r="D34" s="568">
        <v>20</v>
      </c>
      <c r="E34" s="569">
        <v>998.4</v>
      </c>
      <c r="F34" s="568">
        <v>75</v>
      </c>
      <c r="G34" s="569">
        <v>3740.9</v>
      </c>
      <c r="H34" s="578" t="s">
        <v>1444</v>
      </c>
      <c r="I34" s="578">
        <v>134.88</v>
      </c>
      <c r="J34" s="262"/>
    </row>
    <row r="35" spans="1:10" ht="12.75" customHeight="1">
      <c r="A35" s="581" t="s">
        <v>81</v>
      </c>
      <c r="B35" s="568">
        <v>20</v>
      </c>
      <c r="C35" s="569">
        <v>997</v>
      </c>
      <c r="D35" s="568">
        <v>0</v>
      </c>
      <c r="E35" s="569">
        <v>0</v>
      </c>
      <c r="F35" s="568">
        <v>20</v>
      </c>
      <c r="G35" s="569">
        <v>997</v>
      </c>
      <c r="H35" s="578" t="s">
        <v>1158</v>
      </c>
      <c r="I35" s="578">
        <v>107.5</v>
      </c>
      <c r="J35" s="262"/>
    </row>
    <row r="36" spans="1:10" ht="12.75" customHeight="1">
      <c r="A36" s="581" t="s">
        <v>83</v>
      </c>
      <c r="B36" s="568">
        <v>385</v>
      </c>
      <c r="C36" s="569">
        <v>19194.5</v>
      </c>
      <c r="D36" s="568">
        <v>30</v>
      </c>
      <c r="E36" s="569">
        <v>1496.8</v>
      </c>
      <c r="F36" s="568">
        <v>415</v>
      </c>
      <c r="G36" s="569">
        <v>20691.3</v>
      </c>
      <c r="H36" s="578" t="s">
        <v>1445</v>
      </c>
      <c r="I36" s="578">
        <v>153.17</v>
      </c>
      <c r="J36" s="262"/>
    </row>
    <row r="37" spans="1:10" ht="12.75" customHeight="1">
      <c r="A37" s="581" t="s">
        <v>226</v>
      </c>
      <c r="B37" s="568"/>
      <c r="C37" s="569">
        <v>0</v>
      </c>
      <c r="D37" s="568">
        <v>75</v>
      </c>
      <c r="E37" s="569">
        <v>3743.6</v>
      </c>
      <c r="F37" s="568">
        <v>75</v>
      </c>
      <c r="G37" s="569">
        <v>3743.6</v>
      </c>
      <c r="H37" s="578" t="s">
        <v>1446</v>
      </c>
      <c r="I37" s="578">
        <v>151.4</v>
      </c>
      <c r="J37" s="262"/>
    </row>
    <row r="38" spans="1:10" ht="12.75" customHeight="1">
      <c r="A38" s="581" t="s">
        <v>92</v>
      </c>
      <c r="B38" s="568">
        <v>130</v>
      </c>
      <c r="C38" s="569">
        <v>6483.5</v>
      </c>
      <c r="D38" s="568">
        <v>0</v>
      </c>
      <c r="E38" s="569">
        <v>0</v>
      </c>
      <c r="F38" s="568">
        <v>130</v>
      </c>
      <c r="G38" s="569">
        <v>6483.5</v>
      </c>
      <c r="H38" s="578" t="s">
        <v>1447</v>
      </c>
      <c r="I38" s="578">
        <v>91.62</v>
      </c>
      <c r="J38" s="262"/>
    </row>
    <row r="39" spans="1:10" ht="12.75" customHeight="1">
      <c r="A39" s="581" t="s">
        <v>229</v>
      </c>
      <c r="B39" s="568">
        <v>70</v>
      </c>
      <c r="C39" s="569">
        <v>3486.5</v>
      </c>
      <c r="D39" s="568">
        <v>0</v>
      </c>
      <c r="E39" s="569">
        <v>0</v>
      </c>
      <c r="F39" s="568">
        <v>70</v>
      </c>
      <c r="G39" s="569">
        <v>3486.5</v>
      </c>
      <c r="H39" s="578" t="s">
        <v>1448</v>
      </c>
      <c r="I39" s="578">
        <v>86.73</v>
      </c>
      <c r="J39" s="262"/>
    </row>
    <row r="40" spans="1:10" ht="12.75" customHeight="1">
      <c r="A40" s="581" t="s">
        <v>94</v>
      </c>
      <c r="B40" s="568">
        <v>10</v>
      </c>
      <c r="C40" s="569">
        <v>498.5</v>
      </c>
      <c r="D40" s="568">
        <v>30</v>
      </c>
      <c r="E40" s="569">
        <v>1496.8</v>
      </c>
      <c r="F40" s="568">
        <v>40</v>
      </c>
      <c r="G40" s="569">
        <v>1995.3</v>
      </c>
      <c r="H40" s="578" t="s">
        <v>1449</v>
      </c>
      <c r="I40" s="578">
        <v>142.49</v>
      </c>
      <c r="J40" s="262"/>
    </row>
    <row r="41" spans="1:10" ht="12.75" customHeight="1">
      <c r="A41" s="581" t="s">
        <v>190</v>
      </c>
      <c r="B41" s="568">
        <v>10</v>
      </c>
      <c r="C41" s="569">
        <v>498.5</v>
      </c>
      <c r="D41" s="568">
        <v>0</v>
      </c>
      <c r="E41" s="569">
        <v>0</v>
      </c>
      <c r="F41" s="568">
        <v>10</v>
      </c>
      <c r="G41" s="569">
        <v>498.5</v>
      </c>
      <c r="H41" s="578">
        <v>41375.5</v>
      </c>
      <c r="I41" s="578">
        <v>83</v>
      </c>
      <c r="J41" s="262"/>
    </row>
    <row r="42" spans="1:10" ht="12.75" customHeight="1">
      <c r="A42" s="581" t="s">
        <v>266</v>
      </c>
      <c r="B42" s="568">
        <v>10</v>
      </c>
      <c r="C42" s="569">
        <v>498</v>
      </c>
      <c r="D42" s="568">
        <v>70</v>
      </c>
      <c r="E42" s="569">
        <v>3493.1</v>
      </c>
      <c r="F42" s="568">
        <v>80</v>
      </c>
      <c r="G42" s="569">
        <v>3991.1</v>
      </c>
      <c r="H42" s="578" t="s">
        <v>1450</v>
      </c>
      <c r="I42" s="578">
        <v>108.94</v>
      </c>
      <c r="J42" s="262"/>
    </row>
    <row r="43" spans="1:10" ht="12.75" customHeight="1">
      <c r="A43" s="581" t="s">
        <v>96</v>
      </c>
      <c r="B43" s="568">
        <v>10</v>
      </c>
      <c r="C43" s="569">
        <v>497</v>
      </c>
      <c r="D43" s="568">
        <v>0</v>
      </c>
      <c r="E43" s="569">
        <v>0</v>
      </c>
      <c r="F43" s="568">
        <v>10</v>
      </c>
      <c r="G43" s="569">
        <v>497</v>
      </c>
      <c r="H43" s="578">
        <v>74550</v>
      </c>
      <c r="I43" s="578">
        <v>150</v>
      </c>
      <c r="J43" s="262"/>
    </row>
    <row r="44" spans="1:10" ht="12.75" customHeight="1">
      <c r="A44" s="581" t="s">
        <v>1068</v>
      </c>
      <c r="B44" s="568">
        <v>45</v>
      </c>
      <c r="C44" s="569">
        <v>2242.5</v>
      </c>
      <c r="D44" s="568">
        <v>0</v>
      </c>
      <c r="E44" s="569">
        <v>0</v>
      </c>
      <c r="F44" s="568">
        <v>45</v>
      </c>
      <c r="G44" s="569">
        <v>2242.5</v>
      </c>
      <c r="H44" s="578" t="s">
        <v>1451</v>
      </c>
      <c r="I44" s="578">
        <v>106.65</v>
      </c>
      <c r="J44" s="262"/>
    </row>
    <row r="45" spans="1:10" ht="12.75" customHeight="1">
      <c r="A45" s="581" t="s">
        <v>98</v>
      </c>
      <c r="B45" s="568">
        <v>285</v>
      </c>
      <c r="C45" s="569">
        <v>14214</v>
      </c>
      <c r="D45" s="568">
        <v>0</v>
      </c>
      <c r="E45" s="569">
        <v>0</v>
      </c>
      <c r="F45" s="568">
        <v>285</v>
      </c>
      <c r="G45" s="569">
        <v>14214</v>
      </c>
      <c r="H45" s="578" t="s">
        <v>1452</v>
      </c>
      <c r="I45" s="578">
        <v>91.14</v>
      </c>
      <c r="J45" s="262"/>
    </row>
    <row r="46" spans="1:10" ht="12.75" customHeight="1">
      <c r="A46" s="581" t="s">
        <v>99</v>
      </c>
      <c r="B46" s="568">
        <v>110</v>
      </c>
      <c r="C46" s="569">
        <v>5479</v>
      </c>
      <c r="D46" s="568">
        <v>0</v>
      </c>
      <c r="E46" s="569">
        <v>0</v>
      </c>
      <c r="F46" s="568">
        <v>110</v>
      </c>
      <c r="G46" s="569">
        <v>5479</v>
      </c>
      <c r="H46" s="578" t="s">
        <v>1453</v>
      </c>
      <c r="I46" s="578">
        <v>94.79</v>
      </c>
      <c r="J46" s="262"/>
    </row>
    <row r="47" spans="1:10" ht="12.75" customHeight="1">
      <c r="A47" s="581" t="s">
        <v>14</v>
      </c>
      <c r="B47" s="568">
        <v>3866</v>
      </c>
      <c r="C47" s="569" t="s">
        <v>1454</v>
      </c>
      <c r="D47" s="568">
        <v>575</v>
      </c>
      <c r="E47" s="569">
        <v>28692.6</v>
      </c>
      <c r="F47" s="568">
        <v>4441</v>
      </c>
      <c r="G47" s="569" t="s">
        <v>1455</v>
      </c>
      <c r="H47" s="578" t="s">
        <v>1456</v>
      </c>
      <c r="I47" s="578">
        <v>139.66</v>
      </c>
      <c r="J47" s="262"/>
    </row>
    <row r="48" spans="1:10" ht="12.75" customHeight="1">
      <c r="A48" s="581"/>
      <c r="B48" s="568"/>
      <c r="C48" s="569"/>
      <c r="D48" s="568"/>
      <c r="E48" s="569"/>
      <c r="F48" s="568"/>
      <c r="G48" s="569"/>
      <c r="H48" s="578"/>
      <c r="I48" s="578"/>
      <c r="J48" s="262"/>
    </row>
    <row r="49" spans="1:9" ht="12.75" customHeight="1">
      <c r="A49" s="570"/>
      <c r="B49" s="512"/>
      <c r="C49" s="510"/>
      <c r="D49" s="512"/>
      <c r="E49" s="580"/>
      <c r="F49" s="580"/>
      <c r="G49" s="513"/>
      <c r="H49" s="582"/>
      <c r="I49" s="510" t="s">
        <v>119</v>
      </c>
    </row>
    <row r="50" spans="1:9" ht="12.75" customHeight="1">
      <c r="A50" s="570"/>
      <c r="B50" s="512"/>
      <c r="C50" s="510"/>
      <c r="D50" s="512"/>
      <c r="E50" s="580"/>
      <c r="F50" s="580"/>
      <c r="G50" s="513"/>
      <c r="H50" s="513"/>
      <c r="I50" s="583" t="s">
        <v>121</v>
      </c>
    </row>
    <row r="51" spans="1:9" ht="12.75" customHeight="1">
      <c r="A51" s="556" t="s">
        <v>117</v>
      </c>
      <c r="B51" s="512"/>
      <c r="C51" s="510"/>
      <c r="D51" s="512"/>
      <c r="E51" s="513"/>
      <c r="F51" s="512"/>
      <c r="G51" s="510"/>
      <c r="H51" s="511"/>
      <c r="I51" s="511"/>
    </row>
    <row r="52" spans="1:9" ht="12.75" customHeight="1">
      <c r="A52" s="556" t="s">
        <v>118</v>
      </c>
      <c r="B52" s="512"/>
      <c r="C52" s="510"/>
      <c r="D52" s="512"/>
      <c r="E52" s="513"/>
      <c r="F52" s="512"/>
      <c r="G52" s="510"/>
      <c r="H52" s="511"/>
      <c r="I52" s="511"/>
    </row>
    <row r="53" spans="1:9" ht="12.75" customHeight="1">
      <c r="A53" s="556" t="s">
        <v>120</v>
      </c>
      <c r="B53" s="512"/>
      <c r="C53" s="510"/>
      <c r="D53" s="512"/>
      <c r="E53" s="513"/>
      <c r="F53" s="512"/>
      <c r="G53" s="510"/>
      <c r="H53" s="511"/>
      <c r="I53" s="511"/>
    </row>
    <row r="54" spans="1:9" ht="12.75" customHeight="1">
      <c r="A54" s="556" t="s">
        <v>122</v>
      </c>
      <c r="B54" s="512"/>
      <c r="C54" s="510"/>
      <c r="D54" s="512"/>
      <c r="E54" s="513"/>
      <c r="F54" s="512"/>
      <c r="G54" s="510"/>
      <c r="H54" s="511"/>
      <c r="I54" s="511"/>
    </row>
    <row r="55" spans="1:9" ht="12.75" customHeight="1">
      <c r="A55" s="556" t="s">
        <v>123</v>
      </c>
      <c r="B55" s="512"/>
      <c r="C55" s="510"/>
      <c r="D55" s="512"/>
      <c r="E55" s="513"/>
      <c r="F55" s="512"/>
      <c r="G55" s="510"/>
      <c r="H55" s="511"/>
      <c r="I55" s="511"/>
    </row>
    <row r="56" spans="1:9" ht="12.75" customHeight="1">
      <c r="A56" s="114"/>
      <c r="B56" s="355"/>
      <c r="C56" s="342"/>
      <c r="D56" s="355"/>
      <c r="E56" s="117"/>
      <c r="F56" s="355"/>
      <c r="G56" s="342"/>
      <c r="H56" s="118"/>
      <c r="I56" s="118"/>
    </row>
    <row r="57" spans="1:9" ht="12.75" customHeight="1">
      <c r="A57" s="114"/>
      <c r="B57" s="355"/>
      <c r="C57" s="342"/>
      <c r="D57" s="355"/>
      <c r="E57" s="117"/>
      <c r="F57" s="355"/>
      <c r="G57" s="342"/>
      <c r="H57" s="118"/>
      <c r="I57" s="118"/>
    </row>
    <row r="58" spans="1:9" ht="12.75" customHeight="1">
      <c r="A58" s="114"/>
      <c r="B58" s="355"/>
      <c r="C58" s="342"/>
      <c r="D58" s="355"/>
      <c r="E58" s="117"/>
      <c r="F58" s="355"/>
      <c r="G58" s="342"/>
      <c r="H58" s="118"/>
      <c r="I58" s="118"/>
    </row>
    <row r="59" spans="1:9" ht="12.75" customHeight="1">
      <c r="A59" s="114"/>
      <c r="B59" s="355"/>
      <c r="C59" s="342"/>
      <c r="D59" s="355"/>
      <c r="E59" s="117"/>
      <c r="F59" s="355"/>
      <c r="G59" s="342"/>
      <c r="H59" s="118"/>
      <c r="I59" s="118"/>
    </row>
    <row r="60" spans="1:9" ht="12.75" customHeight="1">
      <c r="A60" s="114"/>
      <c r="B60" s="355"/>
      <c r="C60" s="342"/>
      <c r="D60" s="355"/>
      <c r="E60" s="117"/>
      <c r="F60" s="355"/>
      <c r="G60" s="342"/>
      <c r="H60" s="118"/>
      <c r="I60" s="118"/>
    </row>
    <row r="61" spans="1:9" ht="12.75" customHeight="1">
      <c r="A61" s="114"/>
      <c r="B61" s="355"/>
      <c r="C61" s="342"/>
      <c r="D61" s="355"/>
      <c r="E61" s="117"/>
      <c r="F61" s="355"/>
      <c r="G61" s="342"/>
      <c r="H61" s="118"/>
      <c r="I61" s="118"/>
    </row>
    <row r="62" ht="12.75" customHeight="1">
      <c r="A62" s="580"/>
    </row>
    <row r="63" spans="1:15" s="31" customFormat="1" ht="12.75" customHeight="1">
      <c r="A63" s="580"/>
      <c r="C63" s="360"/>
      <c r="E63" s="244"/>
      <c r="G63" s="360"/>
      <c r="H63" s="48"/>
      <c r="I63" s="48"/>
      <c r="J63" s="378"/>
      <c r="K63" s="378"/>
      <c r="L63" s="378"/>
      <c r="M63" s="378"/>
      <c r="N63" s="378"/>
      <c r="O63" s="378"/>
    </row>
    <row r="64" spans="1:15" s="31" customFormat="1" ht="12.75" customHeight="1">
      <c r="A64" s="580"/>
      <c r="C64" s="360"/>
      <c r="E64" s="244"/>
      <c r="G64" s="360"/>
      <c r="H64" s="48"/>
      <c r="I64" s="48"/>
      <c r="J64" s="378"/>
      <c r="K64" s="378"/>
      <c r="L64" s="378"/>
      <c r="M64" s="378"/>
      <c r="N64" s="378"/>
      <c r="O64" s="378"/>
    </row>
    <row r="65" spans="1:15" s="31" customFormat="1" ht="12.75" customHeight="1">
      <c r="A65" s="580"/>
      <c r="C65" s="360"/>
      <c r="E65" s="244"/>
      <c r="G65" s="360"/>
      <c r="H65" s="48"/>
      <c r="I65" s="48"/>
      <c r="J65" s="378"/>
      <c r="K65" s="378"/>
      <c r="L65" s="378"/>
      <c r="M65" s="378"/>
      <c r="N65" s="378"/>
      <c r="O65" s="378"/>
    </row>
    <row r="66" spans="1:15" s="31" customFormat="1" ht="12.75" customHeight="1">
      <c r="A66" s="580"/>
      <c r="C66" s="360"/>
      <c r="E66" s="244"/>
      <c r="G66" s="360"/>
      <c r="H66" s="48"/>
      <c r="I66" s="48"/>
      <c r="J66" s="378"/>
      <c r="K66" s="378"/>
      <c r="L66" s="378"/>
      <c r="M66" s="378"/>
      <c r="N66" s="378"/>
      <c r="O66" s="378"/>
    </row>
  </sheetData>
  <sheetProtection/>
  <printOptions/>
  <pageMargins left="0.7" right="0.29" top="0.83" bottom="0.5" header="0.3" footer="0.3"/>
  <pageSetup horizontalDpi="600" verticalDpi="600" orientation="portrait" scale="85" r:id="rId1"/>
  <headerFooter>
    <oddHeader>&amp;L&amp;D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6.8515625" style="378" customWidth="1"/>
    <col min="2" max="2" width="7.8515625" style="31" customWidth="1"/>
    <col min="3" max="3" width="10.57421875" style="360" customWidth="1"/>
    <col min="4" max="4" width="6.28125" style="31" customWidth="1"/>
    <col min="5" max="5" width="10.28125" style="244" customWidth="1"/>
    <col min="6" max="6" width="7.140625" style="31" customWidth="1"/>
    <col min="7" max="7" width="10.57421875" style="360" customWidth="1"/>
    <col min="8" max="8" width="15.8515625" style="48" customWidth="1"/>
    <col min="9" max="9" width="9.7109375" style="48" customWidth="1"/>
    <col min="10" max="14" width="8.8515625" style="378" customWidth="1"/>
    <col min="15" max="15" width="12.7109375" style="378" bestFit="1" customWidth="1"/>
    <col min="16" max="16384" width="8.8515625" style="378" customWidth="1"/>
  </cols>
  <sheetData>
    <row r="1" spans="1:10" ht="12.75" customHeight="1">
      <c r="A1" s="556" t="s">
        <v>1387</v>
      </c>
      <c r="B1" s="557"/>
      <c r="C1" s="558"/>
      <c r="D1" s="557"/>
      <c r="E1" s="559"/>
      <c r="F1" s="557"/>
      <c r="G1" s="558"/>
      <c r="H1" s="560"/>
      <c r="I1" s="560"/>
      <c r="J1" s="262"/>
    </row>
    <row r="2" spans="1:10" ht="12.75" customHeight="1">
      <c r="A2" s="556" t="s">
        <v>1388</v>
      </c>
      <c r="B2" s="557"/>
      <c r="C2" s="558"/>
      <c r="D2" s="557"/>
      <c r="E2" s="559"/>
      <c r="F2" s="557"/>
      <c r="G2" s="558"/>
      <c r="H2" s="560"/>
      <c r="I2" s="560"/>
      <c r="J2" s="262"/>
    </row>
    <row r="3" spans="1:10" ht="12.75" customHeight="1">
      <c r="A3" s="556" t="s">
        <v>110</v>
      </c>
      <c r="B3" s="557"/>
      <c r="C3" s="558"/>
      <c r="D3" s="557"/>
      <c r="E3" s="559"/>
      <c r="F3" s="557"/>
      <c r="G3" s="558"/>
      <c r="H3" s="560"/>
      <c r="I3" s="560"/>
      <c r="J3" s="262"/>
    </row>
    <row r="4" spans="1:10" ht="12.75" customHeight="1">
      <c r="A4" s="556" t="s">
        <v>5</v>
      </c>
      <c r="B4" s="557"/>
      <c r="C4" s="558"/>
      <c r="D4" s="557"/>
      <c r="E4" s="559"/>
      <c r="F4" s="557"/>
      <c r="G4" s="558"/>
      <c r="H4" s="560"/>
      <c r="I4" s="560"/>
      <c r="J4" s="262"/>
    </row>
    <row r="5" spans="1:10" ht="12.75" customHeight="1">
      <c r="A5" s="556" t="s">
        <v>6</v>
      </c>
      <c r="B5" s="557"/>
      <c r="C5" s="558"/>
      <c r="D5" s="557"/>
      <c r="E5" s="561"/>
      <c r="F5" s="557"/>
      <c r="G5" s="558"/>
      <c r="H5" s="560"/>
      <c r="I5" s="560"/>
      <c r="J5" s="262"/>
    </row>
    <row r="6" spans="1:10" ht="12.75" customHeight="1">
      <c r="A6" s="556" t="s">
        <v>111</v>
      </c>
      <c r="B6" s="557"/>
      <c r="C6" s="558"/>
      <c r="D6" s="557"/>
      <c r="E6" s="559"/>
      <c r="F6" s="557"/>
      <c r="G6" s="558"/>
      <c r="H6" s="560"/>
      <c r="I6" s="560"/>
      <c r="J6" s="262"/>
    </row>
    <row r="7" spans="1:10" ht="12.75" customHeight="1">
      <c r="A7" s="556" t="s">
        <v>112</v>
      </c>
      <c r="B7" s="557"/>
      <c r="C7" s="558"/>
      <c r="D7" s="557"/>
      <c r="E7" s="562" t="s">
        <v>113</v>
      </c>
      <c r="F7" s="557"/>
      <c r="G7" s="558"/>
      <c r="H7" s="560"/>
      <c r="I7" s="560"/>
      <c r="J7" s="262"/>
    </row>
    <row r="8" spans="1:10" ht="12.75" customHeight="1">
      <c r="A8" s="563" t="s">
        <v>1389</v>
      </c>
      <c r="B8" s="564"/>
      <c r="C8" s="565"/>
      <c r="D8" s="564"/>
      <c r="E8" s="566"/>
      <c r="F8" s="564"/>
      <c r="G8" s="565"/>
      <c r="H8" s="567"/>
      <c r="I8" s="567"/>
      <c r="J8" s="262"/>
    </row>
    <row r="9" spans="1:10" ht="12.75" customHeight="1">
      <c r="A9" s="509"/>
      <c r="B9" s="568" t="s">
        <v>45</v>
      </c>
      <c r="C9" s="510"/>
      <c r="D9" s="568" t="s">
        <v>46</v>
      </c>
      <c r="E9" s="510"/>
      <c r="F9" s="568"/>
      <c r="G9" s="569" t="s">
        <v>47</v>
      </c>
      <c r="H9" s="511"/>
      <c r="I9" s="511"/>
      <c r="J9" s="262"/>
    </row>
    <row r="10" spans="1:10" ht="12.75" customHeight="1">
      <c r="A10" s="570" t="s">
        <v>461</v>
      </c>
      <c r="B10" s="571" t="s">
        <v>49</v>
      </c>
      <c r="C10" s="572" t="s">
        <v>50</v>
      </c>
      <c r="D10" s="571" t="s">
        <v>49</v>
      </c>
      <c r="E10" s="572" t="s">
        <v>50</v>
      </c>
      <c r="F10" s="571" t="s">
        <v>49</v>
      </c>
      <c r="G10" s="572" t="s">
        <v>50</v>
      </c>
      <c r="H10" s="573" t="s">
        <v>51</v>
      </c>
      <c r="I10" s="573" t="s">
        <v>52</v>
      </c>
      <c r="J10" s="262"/>
    </row>
    <row r="11" spans="1:10" ht="12.75" customHeight="1">
      <c r="A11" s="574" t="s">
        <v>466</v>
      </c>
      <c r="B11" s="511"/>
      <c r="C11" s="569">
        <v>0</v>
      </c>
      <c r="D11" s="568"/>
      <c r="E11" s="569"/>
      <c r="F11" s="568"/>
      <c r="G11" s="569"/>
      <c r="H11" s="578"/>
      <c r="I11" s="578"/>
      <c r="J11" s="262"/>
    </row>
    <row r="12" spans="1:10" ht="12.75" customHeight="1">
      <c r="A12" s="509" t="s">
        <v>14</v>
      </c>
      <c r="B12" s="578">
        <f aca="true" t="shared" si="0" ref="B12:H12">SUM(B11)</f>
        <v>0</v>
      </c>
      <c r="C12" s="569">
        <f t="shared" si="0"/>
        <v>0</v>
      </c>
      <c r="D12" s="568">
        <f t="shared" si="0"/>
        <v>0</v>
      </c>
      <c r="E12" s="569">
        <f t="shared" si="0"/>
        <v>0</v>
      </c>
      <c r="F12" s="568">
        <f t="shared" si="0"/>
        <v>0</v>
      </c>
      <c r="G12" s="569">
        <f t="shared" si="0"/>
        <v>0</v>
      </c>
      <c r="H12" s="578">
        <f t="shared" si="0"/>
        <v>0</v>
      </c>
      <c r="I12" s="578" t="e">
        <f>H12/G12</f>
        <v>#DIV/0!</v>
      </c>
      <c r="J12" s="262"/>
    </row>
    <row r="13" spans="1:10" ht="12.75" customHeight="1">
      <c r="A13" s="570" t="s">
        <v>462</v>
      </c>
      <c r="B13" s="571" t="s">
        <v>49</v>
      </c>
      <c r="C13" s="572" t="s">
        <v>50</v>
      </c>
      <c r="D13" s="571" t="s">
        <v>49</v>
      </c>
      <c r="E13" s="572" t="s">
        <v>50</v>
      </c>
      <c r="F13" s="571" t="s">
        <v>49</v>
      </c>
      <c r="G13" s="572" t="s">
        <v>50</v>
      </c>
      <c r="H13" s="573" t="s">
        <v>51</v>
      </c>
      <c r="I13" s="573" t="s">
        <v>52</v>
      </c>
      <c r="J13" s="262"/>
    </row>
    <row r="14" spans="1:10" ht="12.75" customHeight="1">
      <c r="A14" s="574" t="s">
        <v>319</v>
      </c>
      <c r="B14" s="619">
        <v>50</v>
      </c>
      <c r="C14" s="569">
        <v>2492.5</v>
      </c>
      <c r="D14" s="619">
        <v>0</v>
      </c>
      <c r="E14" s="569">
        <v>0</v>
      </c>
      <c r="F14" s="619">
        <v>50</v>
      </c>
      <c r="G14" s="569">
        <v>2492.5</v>
      </c>
      <c r="H14" s="578" t="s">
        <v>1393</v>
      </c>
      <c r="I14" s="578">
        <v>131.83</v>
      </c>
      <c r="J14" s="262"/>
    </row>
    <row r="15" spans="1:10" ht="12.75" customHeight="1">
      <c r="A15" s="574" t="s">
        <v>53</v>
      </c>
      <c r="B15" s="619">
        <v>430</v>
      </c>
      <c r="C15" s="569">
        <v>21453.5</v>
      </c>
      <c r="D15" s="619">
        <v>20</v>
      </c>
      <c r="E15" s="569">
        <v>997.6</v>
      </c>
      <c r="F15" s="619">
        <v>450</v>
      </c>
      <c r="G15" s="569">
        <v>22451.1</v>
      </c>
      <c r="H15" s="578" t="s">
        <v>1394</v>
      </c>
      <c r="I15" s="578">
        <v>160.59</v>
      </c>
      <c r="J15" s="262"/>
    </row>
    <row r="16" spans="1:10" ht="12.75" customHeight="1">
      <c r="A16" s="574" t="s">
        <v>322</v>
      </c>
      <c r="B16" s="619">
        <v>25</v>
      </c>
      <c r="C16" s="569">
        <v>1242.5</v>
      </c>
      <c r="D16" s="619">
        <v>20</v>
      </c>
      <c r="E16" s="569">
        <v>997.4</v>
      </c>
      <c r="F16" s="619">
        <v>45</v>
      </c>
      <c r="G16" s="569">
        <v>2239.9</v>
      </c>
      <c r="H16" s="578" t="s">
        <v>1395</v>
      </c>
      <c r="I16" s="578">
        <v>160.59</v>
      </c>
      <c r="J16" s="262"/>
    </row>
    <row r="17" spans="1:10" ht="12.75" customHeight="1">
      <c r="A17" s="574" t="s">
        <v>55</v>
      </c>
      <c r="B17" s="619">
        <v>24</v>
      </c>
      <c r="C17" s="569">
        <v>1195.5</v>
      </c>
      <c r="D17" s="619">
        <v>0</v>
      </c>
      <c r="E17" s="569">
        <v>0</v>
      </c>
      <c r="F17" s="619">
        <v>24</v>
      </c>
      <c r="G17" s="569">
        <v>1195.5</v>
      </c>
      <c r="H17" s="578" t="s">
        <v>1396</v>
      </c>
      <c r="I17" s="578">
        <v>220</v>
      </c>
      <c r="J17" s="262"/>
    </row>
    <row r="18" spans="1:10" ht="12.75" customHeight="1">
      <c r="A18" s="574" t="s">
        <v>469</v>
      </c>
      <c r="B18" s="620"/>
      <c r="C18" s="569">
        <v>0</v>
      </c>
      <c r="D18" s="619">
        <v>30</v>
      </c>
      <c r="E18" s="569">
        <v>1496.6</v>
      </c>
      <c r="F18" s="619">
        <v>30</v>
      </c>
      <c r="G18" s="569">
        <v>1496.6</v>
      </c>
      <c r="H18" s="578" t="s">
        <v>1397</v>
      </c>
      <c r="I18" s="578">
        <v>152.66</v>
      </c>
      <c r="J18" s="262"/>
    </row>
    <row r="19" spans="1:10" ht="12.75" customHeight="1">
      <c r="A19" s="574" t="s">
        <v>171</v>
      </c>
      <c r="B19" s="620"/>
      <c r="C19" s="569">
        <v>0</v>
      </c>
      <c r="D19" s="619">
        <v>140</v>
      </c>
      <c r="E19" s="569">
        <v>6985.5</v>
      </c>
      <c r="F19" s="619">
        <v>140</v>
      </c>
      <c r="G19" s="569">
        <v>6985.5</v>
      </c>
      <c r="H19" s="578" t="s">
        <v>1398</v>
      </c>
      <c r="I19" s="578">
        <v>131.89</v>
      </c>
      <c r="J19" s="262"/>
    </row>
    <row r="20" spans="1:10" ht="12.75" customHeight="1">
      <c r="A20" s="574" t="s">
        <v>1399</v>
      </c>
      <c r="B20" s="620"/>
      <c r="C20" s="569">
        <v>0</v>
      </c>
      <c r="D20" s="619">
        <v>10</v>
      </c>
      <c r="E20" s="569">
        <v>499.2</v>
      </c>
      <c r="F20" s="619">
        <v>10</v>
      </c>
      <c r="G20" s="569">
        <v>499.2</v>
      </c>
      <c r="H20" s="578">
        <v>54912</v>
      </c>
      <c r="I20" s="578">
        <v>110</v>
      </c>
      <c r="J20" s="262"/>
    </row>
    <row r="21" spans="1:10" ht="12.75" customHeight="1">
      <c r="A21" s="574" t="s">
        <v>640</v>
      </c>
      <c r="B21" s="620"/>
      <c r="C21" s="569">
        <v>0</v>
      </c>
      <c r="D21" s="619">
        <v>20</v>
      </c>
      <c r="E21" s="569">
        <v>998.4</v>
      </c>
      <c r="F21" s="619">
        <v>20</v>
      </c>
      <c r="G21" s="569">
        <v>998.4</v>
      </c>
      <c r="H21" s="578" t="s">
        <v>1400</v>
      </c>
      <c r="I21" s="578">
        <v>147.5</v>
      </c>
      <c r="J21" s="262"/>
    </row>
    <row r="22" spans="1:10" ht="12.75" customHeight="1">
      <c r="A22" s="574" t="s">
        <v>57</v>
      </c>
      <c r="B22" s="619">
        <v>70</v>
      </c>
      <c r="C22" s="569">
        <v>3492.5</v>
      </c>
      <c r="D22" s="619">
        <v>0</v>
      </c>
      <c r="E22" s="569">
        <v>0</v>
      </c>
      <c r="F22" s="619">
        <v>70</v>
      </c>
      <c r="G22" s="569">
        <v>3492.5</v>
      </c>
      <c r="H22" s="578" t="s">
        <v>1401</v>
      </c>
      <c r="I22" s="578">
        <v>132.71</v>
      </c>
      <c r="J22" s="262"/>
    </row>
    <row r="23" spans="1:10" ht="12.75" customHeight="1">
      <c r="A23" s="574" t="s">
        <v>174</v>
      </c>
      <c r="B23" s="619">
        <v>20</v>
      </c>
      <c r="C23" s="569">
        <v>997</v>
      </c>
      <c r="D23" s="619">
        <v>0</v>
      </c>
      <c r="E23" s="569">
        <v>0</v>
      </c>
      <c r="F23" s="619">
        <v>20</v>
      </c>
      <c r="G23" s="569">
        <v>997</v>
      </c>
      <c r="H23" s="578">
        <v>84745</v>
      </c>
      <c r="I23" s="578">
        <v>85</v>
      </c>
      <c r="J23" s="262"/>
    </row>
    <row r="24" spans="1:10" ht="12.75" customHeight="1">
      <c r="A24" s="574" t="s">
        <v>176</v>
      </c>
      <c r="B24" s="619">
        <v>40</v>
      </c>
      <c r="C24" s="569">
        <v>1994</v>
      </c>
      <c r="D24" s="619">
        <v>0</v>
      </c>
      <c r="E24" s="569">
        <v>0</v>
      </c>
      <c r="F24" s="619">
        <v>40</v>
      </c>
      <c r="G24" s="569">
        <v>1994</v>
      </c>
      <c r="H24" s="578" t="s">
        <v>1402</v>
      </c>
      <c r="I24" s="578">
        <v>168.5</v>
      </c>
      <c r="J24" s="262"/>
    </row>
    <row r="25" spans="1:10" ht="12.75" customHeight="1">
      <c r="A25" s="574" t="s">
        <v>475</v>
      </c>
      <c r="B25" s="619">
        <v>110</v>
      </c>
      <c r="C25" s="569">
        <v>5485</v>
      </c>
      <c r="D25" s="619">
        <v>0</v>
      </c>
      <c r="E25" s="569">
        <v>0</v>
      </c>
      <c r="F25" s="619">
        <v>110</v>
      </c>
      <c r="G25" s="569">
        <v>5485</v>
      </c>
      <c r="H25" s="578" t="s">
        <v>1403</v>
      </c>
      <c r="I25" s="578">
        <v>149.54</v>
      </c>
      <c r="J25" s="262"/>
    </row>
    <row r="26" spans="1:10" ht="12.75" customHeight="1">
      <c r="A26" s="574" t="s">
        <v>63</v>
      </c>
      <c r="B26" s="619">
        <v>31</v>
      </c>
      <c r="C26" s="569">
        <v>1542.5</v>
      </c>
      <c r="D26" s="619">
        <v>0</v>
      </c>
      <c r="E26" s="569">
        <v>0</v>
      </c>
      <c r="F26" s="619">
        <v>31</v>
      </c>
      <c r="G26" s="569">
        <v>1542.5</v>
      </c>
      <c r="H26" s="578" t="s">
        <v>1404</v>
      </c>
      <c r="I26" s="578">
        <v>130.8</v>
      </c>
      <c r="J26" s="262"/>
    </row>
    <row r="27" spans="1:10" ht="12.75" customHeight="1">
      <c r="A27" s="574" t="s">
        <v>872</v>
      </c>
      <c r="B27" s="620"/>
      <c r="C27" s="569">
        <v>0</v>
      </c>
      <c r="D27" s="619">
        <v>10</v>
      </c>
      <c r="E27" s="569">
        <v>499.2</v>
      </c>
      <c r="F27" s="619">
        <v>10</v>
      </c>
      <c r="G27" s="569">
        <v>499.2</v>
      </c>
      <c r="H27" s="578">
        <v>85363.2</v>
      </c>
      <c r="I27" s="578">
        <v>171</v>
      </c>
      <c r="J27" s="262"/>
    </row>
    <row r="28" spans="1:10" ht="12.75" customHeight="1">
      <c r="A28" s="574" t="s">
        <v>329</v>
      </c>
      <c r="B28" s="619">
        <v>10</v>
      </c>
      <c r="C28" s="569">
        <v>495.5</v>
      </c>
      <c r="D28" s="619">
        <v>0</v>
      </c>
      <c r="E28" s="569">
        <v>0</v>
      </c>
      <c r="F28" s="619">
        <v>10</v>
      </c>
      <c r="G28" s="569">
        <v>495.5</v>
      </c>
      <c r="H28" s="578" t="s">
        <v>1405</v>
      </c>
      <c r="I28" s="578">
        <v>220</v>
      </c>
      <c r="J28" s="262"/>
    </row>
    <row r="29" spans="1:10" ht="12.75" customHeight="1">
      <c r="A29" s="574" t="s">
        <v>67</v>
      </c>
      <c r="B29" s="619">
        <v>120</v>
      </c>
      <c r="C29" s="569">
        <v>5985</v>
      </c>
      <c r="D29" s="619">
        <v>50</v>
      </c>
      <c r="E29" s="569">
        <v>2496</v>
      </c>
      <c r="F29" s="619">
        <v>170</v>
      </c>
      <c r="G29" s="569">
        <v>8481</v>
      </c>
      <c r="H29" s="578" t="s">
        <v>1406</v>
      </c>
      <c r="I29" s="578">
        <v>138.16</v>
      </c>
      <c r="J29" s="262"/>
    </row>
    <row r="30" spans="1:10" ht="12.75" customHeight="1">
      <c r="A30" s="574" t="s">
        <v>71</v>
      </c>
      <c r="B30" s="619">
        <v>360</v>
      </c>
      <c r="C30" s="569">
        <v>17959.5</v>
      </c>
      <c r="D30" s="619">
        <v>110</v>
      </c>
      <c r="E30" s="569">
        <v>5489.6</v>
      </c>
      <c r="F30" s="619">
        <v>470</v>
      </c>
      <c r="G30" s="569">
        <v>23449.1</v>
      </c>
      <c r="H30" s="578" t="s">
        <v>1407</v>
      </c>
      <c r="I30" s="578">
        <v>131.36</v>
      </c>
      <c r="J30" s="262"/>
    </row>
    <row r="31" spans="1:10" ht="12.75" customHeight="1">
      <c r="A31" s="574" t="s">
        <v>1019</v>
      </c>
      <c r="B31" s="620"/>
      <c r="C31" s="569">
        <v>0</v>
      </c>
      <c r="D31" s="619">
        <v>20</v>
      </c>
      <c r="E31" s="569">
        <v>997.6</v>
      </c>
      <c r="F31" s="619">
        <v>20</v>
      </c>
      <c r="G31" s="569">
        <v>997.6</v>
      </c>
      <c r="H31" s="578" t="s">
        <v>1408</v>
      </c>
      <c r="I31" s="578">
        <v>145.5</v>
      </c>
      <c r="J31" s="262"/>
    </row>
    <row r="32" spans="1:10" ht="12.75" customHeight="1">
      <c r="A32" s="574" t="s">
        <v>73</v>
      </c>
      <c r="B32" s="619">
        <v>115</v>
      </c>
      <c r="C32" s="569">
        <v>5735</v>
      </c>
      <c r="D32" s="619">
        <v>0</v>
      </c>
      <c r="E32" s="569">
        <v>0</v>
      </c>
      <c r="F32" s="619">
        <v>115</v>
      </c>
      <c r="G32" s="569">
        <v>5735</v>
      </c>
      <c r="H32" s="578" t="s">
        <v>1409</v>
      </c>
      <c r="I32" s="578">
        <v>138.52</v>
      </c>
      <c r="J32" s="262"/>
    </row>
    <row r="33" spans="1:10" ht="12.75" customHeight="1">
      <c r="A33" s="574" t="s">
        <v>75</v>
      </c>
      <c r="B33" s="619">
        <v>150</v>
      </c>
      <c r="C33" s="569">
        <v>7480.5</v>
      </c>
      <c r="D33" s="619">
        <v>0</v>
      </c>
      <c r="E33" s="569">
        <v>0</v>
      </c>
      <c r="F33" s="619">
        <v>150</v>
      </c>
      <c r="G33" s="569">
        <v>7480.5</v>
      </c>
      <c r="H33" s="578">
        <v>875927</v>
      </c>
      <c r="I33" s="578">
        <v>117.09471292025934</v>
      </c>
      <c r="J33" s="262"/>
    </row>
    <row r="34" spans="1:10" ht="12.75" customHeight="1">
      <c r="A34" s="574" t="s">
        <v>77</v>
      </c>
      <c r="B34" s="619">
        <v>60</v>
      </c>
      <c r="C34" s="569">
        <v>2992.5</v>
      </c>
      <c r="D34" s="619">
        <v>40</v>
      </c>
      <c r="E34" s="569">
        <v>1996.8</v>
      </c>
      <c r="F34" s="619">
        <v>100</v>
      </c>
      <c r="G34" s="569">
        <v>4989.3</v>
      </c>
      <c r="H34" s="578" t="s">
        <v>1410</v>
      </c>
      <c r="I34" s="578">
        <v>120.71</v>
      </c>
      <c r="J34" s="262"/>
    </row>
    <row r="35" spans="1:10" ht="12.75" customHeight="1">
      <c r="A35" s="574" t="s">
        <v>79</v>
      </c>
      <c r="B35" s="620"/>
      <c r="C35" s="569">
        <v>0</v>
      </c>
      <c r="D35" s="619">
        <v>15</v>
      </c>
      <c r="E35" s="569">
        <v>748.7</v>
      </c>
      <c r="F35" s="619">
        <v>15</v>
      </c>
      <c r="G35" s="569">
        <v>748.7</v>
      </c>
      <c r="H35" s="578" t="s">
        <v>1411</v>
      </c>
      <c r="I35" s="578">
        <v>133.66</v>
      </c>
      <c r="J35" s="262"/>
    </row>
    <row r="36" spans="1:10" ht="12.75" customHeight="1">
      <c r="A36" s="574" t="s">
        <v>81</v>
      </c>
      <c r="B36" s="619">
        <v>30</v>
      </c>
      <c r="C36" s="569">
        <v>1497</v>
      </c>
      <c r="D36" s="619">
        <v>0</v>
      </c>
      <c r="E36" s="569">
        <v>0</v>
      </c>
      <c r="F36" s="619">
        <v>30</v>
      </c>
      <c r="G36" s="569">
        <v>1497</v>
      </c>
      <c r="H36" s="578" t="s">
        <v>1412</v>
      </c>
      <c r="I36" s="578">
        <v>103.65</v>
      </c>
      <c r="J36" s="262"/>
    </row>
    <row r="37" spans="1:10" ht="12.75" customHeight="1">
      <c r="A37" s="574" t="s">
        <v>83</v>
      </c>
      <c r="B37" s="619">
        <v>230</v>
      </c>
      <c r="C37" s="569">
        <v>11476</v>
      </c>
      <c r="D37" s="619">
        <v>90</v>
      </c>
      <c r="E37" s="569">
        <v>4488</v>
      </c>
      <c r="F37" s="619">
        <v>320</v>
      </c>
      <c r="G37" s="569">
        <v>15964</v>
      </c>
      <c r="H37" s="578" t="s">
        <v>1413</v>
      </c>
      <c r="I37" s="578">
        <v>137.27</v>
      </c>
      <c r="J37" s="262"/>
    </row>
    <row r="38" spans="1:10" ht="12.75" customHeight="1">
      <c r="A38" s="574" t="s">
        <v>150</v>
      </c>
      <c r="B38" s="619">
        <v>41</v>
      </c>
      <c r="C38" s="569">
        <v>2017</v>
      </c>
      <c r="D38" s="619">
        <v>0</v>
      </c>
      <c r="E38" s="569">
        <v>0</v>
      </c>
      <c r="F38" s="619">
        <v>41</v>
      </c>
      <c r="G38" s="569">
        <v>2017</v>
      </c>
      <c r="H38" s="578" t="s">
        <v>1414</v>
      </c>
      <c r="I38" s="578">
        <v>138.63</v>
      </c>
      <c r="J38" s="262"/>
    </row>
    <row r="39" spans="1:10" ht="12.75" customHeight="1">
      <c r="A39" s="574" t="s">
        <v>92</v>
      </c>
      <c r="B39" s="620"/>
      <c r="C39" s="569">
        <v>0</v>
      </c>
      <c r="D39" s="619">
        <v>35</v>
      </c>
      <c r="E39" s="569">
        <v>1747.1</v>
      </c>
      <c r="F39" s="619">
        <v>35</v>
      </c>
      <c r="G39" s="569">
        <v>1747.1</v>
      </c>
      <c r="H39" s="578" t="s">
        <v>1415</v>
      </c>
      <c r="I39" s="578">
        <v>126.43</v>
      </c>
      <c r="J39" s="262"/>
    </row>
    <row r="40" spans="1:10" ht="12.75" customHeight="1">
      <c r="A40" s="574" t="s">
        <v>229</v>
      </c>
      <c r="B40" s="619">
        <v>20</v>
      </c>
      <c r="C40" s="569">
        <v>997</v>
      </c>
      <c r="D40" s="619">
        <v>0</v>
      </c>
      <c r="E40" s="569">
        <v>0</v>
      </c>
      <c r="F40" s="619">
        <v>20</v>
      </c>
      <c r="G40" s="569">
        <v>997</v>
      </c>
      <c r="H40" s="578">
        <v>86739</v>
      </c>
      <c r="I40" s="578">
        <v>87</v>
      </c>
      <c r="J40" s="262"/>
    </row>
    <row r="41" spans="1:10" ht="12.75" customHeight="1">
      <c r="A41" s="574" t="s">
        <v>233</v>
      </c>
      <c r="B41" s="619">
        <v>20</v>
      </c>
      <c r="C41" s="569">
        <v>997</v>
      </c>
      <c r="D41" s="619">
        <v>55</v>
      </c>
      <c r="E41" s="569">
        <v>2746</v>
      </c>
      <c r="F41" s="619">
        <v>75</v>
      </c>
      <c r="G41" s="569">
        <v>3743</v>
      </c>
      <c r="H41" s="578" t="s">
        <v>1416</v>
      </c>
      <c r="I41" s="578">
        <v>130.63</v>
      </c>
      <c r="J41" s="262"/>
    </row>
    <row r="42" spans="1:10" ht="12.75" customHeight="1">
      <c r="A42" s="574" t="s">
        <v>94</v>
      </c>
      <c r="B42" s="619">
        <v>60</v>
      </c>
      <c r="C42" s="569">
        <v>2988</v>
      </c>
      <c r="D42" s="619">
        <v>20</v>
      </c>
      <c r="E42" s="569">
        <v>998.4</v>
      </c>
      <c r="F42" s="619">
        <v>80</v>
      </c>
      <c r="G42" s="569">
        <v>3986.4</v>
      </c>
      <c r="H42" s="578" t="s">
        <v>1417</v>
      </c>
      <c r="I42" s="578">
        <v>158.14</v>
      </c>
      <c r="J42" s="262"/>
    </row>
    <row r="43" spans="1:10" ht="12.75" customHeight="1">
      <c r="A43" s="574" t="s">
        <v>190</v>
      </c>
      <c r="B43" s="619">
        <v>40</v>
      </c>
      <c r="C43" s="569">
        <v>1989.5</v>
      </c>
      <c r="D43" s="619">
        <v>0</v>
      </c>
      <c r="E43" s="569">
        <v>0</v>
      </c>
      <c r="F43" s="619">
        <v>40</v>
      </c>
      <c r="G43" s="569">
        <v>1989.5</v>
      </c>
      <c r="H43" s="578" t="s">
        <v>1418</v>
      </c>
      <c r="I43" s="578">
        <v>146.05</v>
      </c>
      <c r="J43" s="262"/>
    </row>
    <row r="44" spans="1:10" ht="12.75" customHeight="1">
      <c r="A44" s="574" t="s">
        <v>96</v>
      </c>
      <c r="B44" s="619">
        <v>10</v>
      </c>
      <c r="C44" s="569">
        <v>498.5</v>
      </c>
      <c r="D44" s="619">
        <v>0</v>
      </c>
      <c r="E44" s="569">
        <v>0</v>
      </c>
      <c r="F44" s="619">
        <v>10</v>
      </c>
      <c r="G44" s="569">
        <v>498.5</v>
      </c>
      <c r="H44" s="578">
        <v>97207.5</v>
      </c>
      <c r="I44" s="578">
        <v>195</v>
      </c>
      <c r="J44" s="262"/>
    </row>
    <row r="45" spans="1:10" ht="12.75" customHeight="1">
      <c r="A45" s="574" t="s">
        <v>1068</v>
      </c>
      <c r="B45" s="619">
        <v>50</v>
      </c>
      <c r="C45" s="569">
        <v>2494</v>
      </c>
      <c r="D45" s="619">
        <v>0</v>
      </c>
      <c r="E45" s="569">
        <v>0</v>
      </c>
      <c r="F45" s="619">
        <v>50</v>
      </c>
      <c r="G45" s="569">
        <v>2494</v>
      </c>
      <c r="H45" s="578" t="s">
        <v>1419</v>
      </c>
      <c r="I45" s="578">
        <v>131.21</v>
      </c>
      <c r="J45" s="262"/>
    </row>
    <row r="46" spans="1:10" ht="12.75" customHeight="1">
      <c r="A46" s="574" t="s">
        <v>98</v>
      </c>
      <c r="B46" s="619">
        <v>265</v>
      </c>
      <c r="C46" s="569">
        <v>13223</v>
      </c>
      <c r="D46" s="619">
        <v>0</v>
      </c>
      <c r="E46" s="569">
        <v>0</v>
      </c>
      <c r="F46" s="619">
        <v>265</v>
      </c>
      <c r="G46" s="569">
        <v>13223</v>
      </c>
      <c r="H46" s="578">
        <v>1404470.5</v>
      </c>
      <c r="I46" s="578">
        <v>106.21421008848219</v>
      </c>
      <c r="J46" s="262"/>
    </row>
    <row r="47" spans="1:10" ht="12.75" customHeight="1">
      <c r="A47" s="574" t="s">
        <v>99</v>
      </c>
      <c r="B47" s="619">
        <v>120</v>
      </c>
      <c r="C47" s="569">
        <v>5991</v>
      </c>
      <c r="D47" s="619">
        <v>0</v>
      </c>
      <c r="E47" s="569">
        <v>0</v>
      </c>
      <c r="F47" s="619">
        <v>120</v>
      </c>
      <c r="G47" s="569">
        <v>5991</v>
      </c>
      <c r="H47" s="578" t="s">
        <v>1420</v>
      </c>
      <c r="I47" s="578">
        <v>122.06</v>
      </c>
      <c r="J47" s="262"/>
    </row>
    <row r="48" spans="1:10" ht="12.75" customHeight="1">
      <c r="A48" s="574" t="s">
        <v>1421</v>
      </c>
      <c r="B48" s="619">
        <v>10</v>
      </c>
      <c r="C48" s="569">
        <v>500</v>
      </c>
      <c r="D48" s="619">
        <v>0</v>
      </c>
      <c r="E48" s="569">
        <v>0</v>
      </c>
      <c r="F48" s="619">
        <v>10</v>
      </c>
      <c r="G48" s="569">
        <v>500</v>
      </c>
      <c r="H48" s="578">
        <v>41500</v>
      </c>
      <c r="I48" s="578">
        <v>83</v>
      </c>
      <c r="J48" s="262"/>
    </row>
    <row r="49" spans="1:10" ht="12.75" customHeight="1">
      <c r="A49" s="574" t="s">
        <v>1112</v>
      </c>
      <c r="B49" s="619">
        <v>10</v>
      </c>
      <c r="C49" s="569">
        <v>498.5</v>
      </c>
      <c r="D49" s="619">
        <v>0</v>
      </c>
      <c r="E49" s="569">
        <v>0</v>
      </c>
      <c r="F49" s="619">
        <v>10</v>
      </c>
      <c r="G49" s="569">
        <v>498.5</v>
      </c>
      <c r="H49" s="578">
        <v>66799</v>
      </c>
      <c r="I49" s="578">
        <v>134</v>
      </c>
      <c r="J49" s="262"/>
    </row>
    <row r="50" spans="1:10" ht="12.75" customHeight="1">
      <c r="A50" s="574" t="s">
        <v>194</v>
      </c>
      <c r="B50" s="619">
        <v>20</v>
      </c>
      <c r="C50" s="569">
        <v>986.5</v>
      </c>
      <c r="D50" s="619">
        <v>0</v>
      </c>
      <c r="E50" s="569">
        <v>0</v>
      </c>
      <c r="F50" s="619">
        <v>20</v>
      </c>
      <c r="G50" s="569">
        <v>986.5</v>
      </c>
      <c r="H50" s="578" t="s">
        <v>1422</v>
      </c>
      <c r="I50" s="578">
        <v>146.69</v>
      </c>
      <c r="J50" s="262"/>
    </row>
    <row r="51" spans="1:10" ht="12.75" customHeight="1">
      <c r="A51" s="574" t="s">
        <v>14</v>
      </c>
      <c r="B51" s="621">
        <v>2541</v>
      </c>
      <c r="C51" s="569" t="s">
        <v>1423</v>
      </c>
      <c r="D51" s="619">
        <v>685</v>
      </c>
      <c r="E51" s="569">
        <v>34182.1</v>
      </c>
      <c r="F51" s="621">
        <v>3226</v>
      </c>
      <c r="G51" s="569" t="s">
        <v>1424</v>
      </c>
      <c r="H51" s="578" t="s">
        <v>1425</v>
      </c>
      <c r="I51" s="578">
        <v>136.35</v>
      </c>
      <c r="J51" s="262"/>
    </row>
    <row r="52" spans="1:10" ht="12.75" customHeight="1">
      <c r="A52" s="581"/>
      <c r="B52" s="568"/>
      <c r="C52" s="569"/>
      <c r="D52" s="568"/>
      <c r="E52" s="569"/>
      <c r="F52" s="568"/>
      <c r="G52" s="569"/>
      <c r="H52" s="578"/>
      <c r="I52" s="578"/>
      <c r="J52" s="262"/>
    </row>
    <row r="53" spans="1:9" ht="12.75" customHeight="1">
      <c r="A53" s="570"/>
      <c r="B53" s="512"/>
      <c r="C53" s="510"/>
      <c r="D53" s="512"/>
      <c r="E53" s="580"/>
      <c r="F53" s="580"/>
      <c r="G53" s="513"/>
      <c r="H53" s="582"/>
      <c r="I53" s="510" t="s">
        <v>119</v>
      </c>
    </row>
    <row r="54" spans="1:9" ht="12.75" customHeight="1">
      <c r="A54" s="570"/>
      <c r="B54" s="512"/>
      <c r="C54" s="510"/>
      <c r="D54" s="512"/>
      <c r="E54" s="580"/>
      <c r="F54" s="580"/>
      <c r="G54" s="513"/>
      <c r="H54" s="513"/>
      <c r="I54" s="583" t="s">
        <v>121</v>
      </c>
    </row>
    <row r="55" spans="1:9" ht="12.75" customHeight="1">
      <c r="A55" s="556" t="s">
        <v>117</v>
      </c>
      <c r="B55" s="512"/>
      <c r="C55" s="510"/>
      <c r="D55" s="512"/>
      <c r="E55" s="513"/>
      <c r="F55" s="512"/>
      <c r="G55" s="510"/>
      <c r="H55" s="511"/>
      <c r="I55" s="511"/>
    </row>
    <row r="56" spans="1:9" ht="12.75" customHeight="1">
      <c r="A56" s="556" t="s">
        <v>118</v>
      </c>
      <c r="B56" s="512"/>
      <c r="C56" s="510"/>
      <c r="D56" s="512"/>
      <c r="E56" s="513"/>
      <c r="F56" s="512"/>
      <c r="G56" s="510"/>
      <c r="H56" s="511"/>
      <c r="I56" s="511"/>
    </row>
    <row r="57" spans="1:9" ht="12.75" customHeight="1">
      <c r="A57" s="556" t="s">
        <v>120</v>
      </c>
      <c r="B57" s="512"/>
      <c r="C57" s="510"/>
      <c r="D57" s="512"/>
      <c r="E57" s="513"/>
      <c r="F57" s="512"/>
      <c r="G57" s="510"/>
      <c r="H57" s="511"/>
      <c r="I57" s="511"/>
    </row>
    <row r="58" spans="1:9" ht="12.75" customHeight="1">
      <c r="A58" s="556" t="s">
        <v>122</v>
      </c>
      <c r="B58" s="512"/>
      <c r="C58" s="510"/>
      <c r="D58" s="512"/>
      <c r="E58" s="513"/>
      <c r="F58" s="512"/>
      <c r="G58" s="510"/>
      <c r="H58" s="511"/>
      <c r="I58" s="511"/>
    </row>
    <row r="59" spans="1:9" ht="12.75" customHeight="1">
      <c r="A59" s="556" t="s">
        <v>123</v>
      </c>
      <c r="B59" s="512"/>
      <c r="C59" s="510"/>
      <c r="D59" s="512"/>
      <c r="E59" s="513"/>
      <c r="F59" s="512"/>
      <c r="G59" s="510"/>
      <c r="H59" s="511"/>
      <c r="I59" s="511"/>
    </row>
    <row r="60" spans="1:9" ht="12.75" customHeight="1">
      <c r="A60" s="114"/>
      <c r="B60" s="355"/>
      <c r="C60" s="342"/>
      <c r="D60" s="355"/>
      <c r="E60" s="117"/>
      <c r="F60" s="355"/>
      <c r="G60" s="342"/>
      <c r="H60" s="118"/>
      <c r="I60" s="118"/>
    </row>
    <row r="61" spans="1:9" ht="12.75" customHeight="1">
      <c r="A61" s="114"/>
      <c r="B61" s="355"/>
      <c r="C61" s="342"/>
      <c r="D61" s="355"/>
      <c r="E61" s="117"/>
      <c r="F61" s="355"/>
      <c r="G61" s="342"/>
      <c r="H61" s="118"/>
      <c r="I61" s="118"/>
    </row>
    <row r="62" spans="1:9" ht="12.75" customHeight="1">
      <c r="A62" s="114"/>
      <c r="B62" s="355"/>
      <c r="C62" s="342"/>
      <c r="D62" s="355"/>
      <c r="E62" s="117"/>
      <c r="F62" s="355"/>
      <c r="G62" s="342"/>
      <c r="H62" s="118"/>
      <c r="I62" s="118"/>
    </row>
    <row r="63" spans="1:9" ht="12.75" customHeight="1">
      <c r="A63" s="114"/>
      <c r="B63" s="355"/>
      <c r="C63" s="342"/>
      <c r="D63" s="355"/>
      <c r="E63" s="117"/>
      <c r="F63" s="355"/>
      <c r="G63" s="342"/>
      <c r="H63" s="118"/>
      <c r="I63" s="118"/>
    </row>
    <row r="64" spans="1:9" ht="12.75" customHeight="1">
      <c r="A64" s="114"/>
      <c r="B64" s="355"/>
      <c r="C64" s="342"/>
      <c r="D64" s="355"/>
      <c r="E64" s="117"/>
      <c r="F64" s="355"/>
      <c r="G64" s="342"/>
      <c r="H64" s="118"/>
      <c r="I64" s="118"/>
    </row>
    <row r="65" spans="1:9" ht="12.75" customHeight="1">
      <c r="A65" s="114"/>
      <c r="B65" s="355"/>
      <c r="C65" s="342"/>
      <c r="D65" s="355"/>
      <c r="E65" s="117"/>
      <c r="F65" s="355"/>
      <c r="G65" s="342"/>
      <c r="H65" s="118"/>
      <c r="I65" s="118"/>
    </row>
    <row r="66" ht="12.75" customHeight="1">
      <c r="A66" s="580"/>
    </row>
    <row r="67" spans="1:15" s="31" customFormat="1" ht="12.75" customHeight="1">
      <c r="A67" s="580"/>
      <c r="C67" s="360"/>
      <c r="E67" s="244"/>
      <c r="G67" s="360"/>
      <c r="H67" s="48"/>
      <c r="I67" s="48"/>
      <c r="J67" s="378"/>
      <c r="K67" s="378"/>
      <c r="L67" s="378"/>
      <c r="M67" s="378"/>
      <c r="N67" s="378"/>
      <c r="O67" s="378"/>
    </row>
    <row r="68" spans="1:15" s="31" customFormat="1" ht="12.75" customHeight="1">
      <c r="A68" s="580"/>
      <c r="C68" s="360"/>
      <c r="E68" s="244"/>
      <c r="G68" s="360"/>
      <c r="H68" s="48"/>
      <c r="I68" s="48"/>
      <c r="J68" s="378"/>
      <c r="K68" s="378"/>
      <c r="L68" s="378"/>
      <c r="M68" s="378"/>
      <c r="N68" s="378"/>
      <c r="O68" s="378"/>
    </row>
    <row r="69" spans="1:15" s="31" customFormat="1" ht="12.75" customHeight="1">
      <c r="A69" s="580"/>
      <c r="C69" s="360"/>
      <c r="E69" s="244"/>
      <c r="G69" s="360"/>
      <c r="H69" s="48"/>
      <c r="I69" s="48"/>
      <c r="J69" s="378"/>
      <c r="K69" s="378"/>
      <c r="L69" s="378"/>
      <c r="M69" s="378"/>
      <c r="N69" s="378"/>
      <c r="O69" s="378"/>
    </row>
    <row r="70" spans="1:15" s="31" customFormat="1" ht="12.75" customHeight="1">
      <c r="A70" s="580"/>
      <c r="C70" s="360"/>
      <c r="E70" s="244"/>
      <c r="G70" s="360"/>
      <c r="H70" s="48"/>
      <c r="I70" s="48"/>
      <c r="J70" s="378"/>
      <c r="K70" s="378"/>
      <c r="L70" s="378"/>
      <c r="M70" s="378"/>
      <c r="N70" s="378"/>
      <c r="O70" s="378"/>
    </row>
  </sheetData>
  <sheetProtection/>
  <printOptions/>
  <pageMargins left="0.7" right="0.7" top="0.83" bottom="0.5" header="0.3" footer="0.3"/>
  <pageSetup horizontalDpi="600" verticalDpi="600" orientation="portrait" scale="85" r:id="rId1"/>
  <headerFooter>
    <oddHeader>&amp;L&amp;D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0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6.7109375" style="4" customWidth="1"/>
    <col min="2" max="2" width="7.57421875" style="4" customWidth="1"/>
    <col min="3" max="3" width="12.57421875" style="6" customWidth="1"/>
    <col min="4" max="4" width="12.7109375" style="5" customWidth="1"/>
    <col min="5" max="5" width="15.00390625" style="6" customWidth="1"/>
    <col min="6" max="6" width="14.421875" style="5" customWidth="1"/>
    <col min="7" max="7" width="9.8515625" style="5" customWidth="1"/>
    <col min="8" max="8" width="9.57421875" style="5" customWidth="1"/>
    <col min="9" max="9" width="9.28125" style="3" customWidth="1"/>
    <col min="10" max="10" width="21.28125" style="378" bestFit="1" customWidth="1"/>
    <col min="11" max="16384" width="9.140625" style="378" customWidth="1"/>
  </cols>
  <sheetData>
    <row r="1" spans="1:9" ht="12.75" customHeight="1">
      <c r="A1" s="380"/>
      <c r="B1" s="380"/>
      <c r="C1" s="381" t="s">
        <v>3</v>
      </c>
      <c r="D1" s="382"/>
      <c r="E1" s="383"/>
      <c r="F1" s="384"/>
      <c r="G1" s="382"/>
      <c r="H1" s="380"/>
      <c r="I1" s="15"/>
    </row>
    <row r="2" spans="1:9" ht="12.75" customHeight="1">
      <c r="A2" s="380"/>
      <c r="B2" s="380"/>
      <c r="C2" s="381" t="s">
        <v>4</v>
      </c>
      <c r="D2" s="385"/>
      <c r="E2" s="381"/>
      <c r="F2" s="384"/>
      <c r="G2" s="382"/>
      <c r="H2" s="380"/>
      <c r="I2" s="15"/>
    </row>
    <row r="3" spans="1:9" ht="12.75" customHeight="1">
      <c r="A3" s="380"/>
      <c r="B3" s="380"/>
      <c r="C3" s="381" t="s">
        <v>33</v>
      </c>
      <c r="D3" s="385"/>
      <c r="E3" s="381"/>
      <c r="F3" s="384"/>
      <c r="G3" s="382"/>
      <c r="H3" s="380"/>
      <c r="I3" s="15"/>
    </row>
    <row r="4" spans="1:9" ht="12.75" customHeight="1">
      <c r="A4" s="386"/>
      <c r="B4" s="380"/>
      <c r="C4" s="381" t="s">
        <v>31</v>
      </c>
      <c r="D4" s="385"/>
      <c r="E4" s="381"/>
      <c r="F4" s="384"/>
      <c r="G4" s="387"/>
      <c r="H4" s="380"/>
      <c r="I4" s="15"/>
    </row>
    <row r="5" spans="1:9" ht="12.75" customHeight="1">
      <c r="A5" s="380"/>
      <c r="B5" s="386"/>
      <c r="C5" s="388"/>
      <c r="D5" s="387"/>
      <c r="E5" s="383" t="s">
        <v>1385</v>
      </c>
      <c r="F5" s="384"/>
      <c r="G5" s="387"/>
      <c r="H5" s="380"/>
      <c r="I5" s="15"/>
    </row>
    <row r="6" spans="1:9" ht="12.75" customHeight="1">
      <c r="A6" s="389" t="s">
        <v>39</v>
      </c>
      <c r="B6" s="386"/>
      <c r="C6" s="388"/>
      <c r="D6" s="387"/>
      <c r="E6" s="388"/>
      <c r="F6" s="384"/>
      <c r="G6" s="387"/>
      <c r="H6" s="380"/>
      <c r="I6" s="15"/>
    </row>
    <row r="7" spans="1:9" ht="12.75" customHeight="1">
      <c r="A7" s="390" t="s">
        <v>312</v>
      </c>
      <c r="B7" s="390"/>
      <c r="C7" s="856" t="s">
        <v>1384</v>
      </c>
      <c r="D7" s="856"/>
      <c r="E7" s="553" t="s">
        <v>1386</v>
      </c>
      <c r="F7" s="384"/>
      <c r="G7" s="382"/>
      <c r="H7" s="380"/>
      <c r="I7" s="15"/>
    </row>
    <row r="8" spans="1:9" ht="12.75" customHeight="1">
      <c r="A8" s="392" t="s">
        <v>243</v>
      </c>
      <c r="B8" s="380"/>
      <c r="C8" s="393" t="s">
        <v>0</v>
      </c>
      <c r="D8" s="394" t="s">
        <v>1</v>
      </c>
      <c r="E8" s="393" t="s">
        <v>0</v>
      </c>
      <c r="F8" s="394" t="s">
        <v>1</v>
      </c>
      <c r="G8" s="382"/>
      <c r="H8" s="380"/>
      <c r="I8" s="15"/>
    </row>
    <row r="9" spans="1:9" ht="12.75" customHeight="1">
      <c r="A9" s="141" t="s">
        <v>1348</v>
      </c>
      <c r="B9" s="138"/>
      <c r="C9" s="142">
        <v>0</v>
      </c>
      <c r="D9" s="584">
        <v>0</v>
      </c>
      <c r="E9" s="142">
        <v>2991.7</v>
      </c>
      <c r="F9" s="585">
        <v>77.01403884079286</v>
      </c>
      <c r="G9" s="138"/>
      <c r="H9" s="586"/>
      <c r="I9" s="15"/>
    </row>
    <row r="10" spans="1:9" ht="12.75" customHeight="1">
      <c r="A10" s="141" t="s">
        <v>1207</v>
      </c>
      <c r="B10" s="138"/>
      <c r="C10" s="142">
        <v>0</v>
      </c>
      <c r="D10" s="584">
        <v>0</v>
      </c>
      <c r="E10" s="142">
        <v>30436.8</v>
      </c>
      <c r="F10" s="585">
        <v>104.30713806970509</v>
      </c>
      <c r="G10" s="138"/>
      <c r="H10" s="586"/>
      <c r="I10" s="15"/>
    </row>
    <row r="11" spans="1:9" ht="12.75" customHeight="1">
      <c r="A11" s="141" t="s">
        <v>277</v>
      </c>
      <c r="B11" s="138"/>
      <c r="C11" s="142">
        <v>5740.2</v>
      </c>
      <c r="D11" s="584">
        <v>89.26159367269433</v>
      </c>
      <c r="E11" s="142">
        <v>81855.49999999999</v>
      </c>
      <c r="F11" s="585">
        <v>124.26777553127157</v>
      </c>
      <c r="G11" s="138"/>
      <c r="H11" s="586"/>
      <c r="I11" s="15"/>
    </row>
    <row r="12" spans="1:9" ht="12.75" customHeight="1">
      <c r="A12" s="141" t="s">
        <v>279</v>
      </c>
      <c r="B12" s="138"/>
      <c r="C12" s="142">
        <v>0</v>
      </c>
      <c r="D12" s="584">
        <v>0</v>
      </c>
      <c r="E12" s="142">
        <v>2991</v>
      </c>
      <c r="F12" s="585">
        <v>240.16666666666666</v>
      </c>
      <c r="G12" s="138"/>
      <c r="H12" s="586"/>
      <c r="I12" s="15"/>
    </row>
    <row r="13" spans="1:9" ht="12.75" customHeight="1">
      <c r="A13" s="141" t="s">
        <v>278</v>
      </c>
      <c r="B13" s="138"/>
      <c r="C13" s="142">
        <v>1986.5</v>
      </c>
      <c r="D13" s="584">
        <v>120</v>
      </c>
      <c r="E13" s="142">
        <v>130776.79999999999</v>
      </c>
      <c r="F13" s="585">
        <v>185.27103737054284</v>
      </c>
      <c r="G13" s="138"/>
      <c r="H13" s="586"/>
      <c r="I13" s="15"/>
    </row>
    <row r="14" spans="1:9" ht="12.75" customHeight="1">
      <c r="A14" s="141" t="s">
        <v>1208</v>
      </c>
      <c r="B14" s="138"/>
      <c r="C14" s="142">
        <v>2992.4</v>
      </c>
      <c r="D14" s="584">
        <v>125.33411308648576</v>
      </c>
      <c r="E14" s="142">
        <v>46356.8</v>
      </c>
      <c r="F14" s="585">
        <v>186.94531978048528</v>
      </c>
      <c r="G14" s="138"/>
      <c r="H14" s="586"/>
      <c r="I14" s="15"/>
    </row>
    <row r="15" spans="1:9" ht="12.75" customHeight="1">
      <c r="A15" s="141" t="s">
        <v>280</v>
      </c>
      <c r="B15" s="138"/>
      <c r="C15" s="142">
        <v>5989.4</v>
      </c>
      <c r="D15" s="584">
        <v>112.91974154339333</v>
      </c>
      <c r="E15" s="142">
        <v>299062.00000000006</v>
      </c>
      <c r="F15" s="585">
        <v>159.8328135971805</v>
      </c>
      <c r="G15" s="138"/>
      <c r="H15" s="586"/>
      <c r="I15" s="15"/>
    </row>
    <row r="16" spans="1:9" ht="12.75" customHeight="1">
      <c r="A16" s="141" t="s">
        <v>281</v>
      </c>
      <c r="B16" s="138"/>
      <c r="C16" s="142">
        <v>7983.4</v>
      </c>
      <c r="D16" s="584">
        <v>75.44090237242278</v>
      </c>
      <c r="E16" s="142">
        <v>104048.89999999998</v>
      </c>
      <c r="F16" s="585">
        <v>114.47567153521088</v>
      </c>
      <c r="G16" s="138"/>
      <c r="H16" s="586"/>
      <c r="I16" s="15"/>
    </row>
    <row r="17" spans="1:9" ht="12.75" customHeight="1">
      <c r="A17" s="141" t="s">
        <v>1209</v>
      </c>
      <c r="B17" s="138"/>
      <c r="C17" s="142">
        <v>994</v>
      </c>
      <c r="D17" s="584">
        <v>80</v>
      </c>
      <c r="E17" s="142">
        <v>4234.9</v>
      </c>
      <c r="F17" s="585">
        <v>88.83397482821319</v>
      </c>
      <c r="G17" s="138"/>
      <c r="H17" s="586"/>
      <c r="I17" s="15"/>
    </row>
    <row r="18" spans="1:9" ht="12.75" customHeight="1">
      <c r="A18" s="141" t="s">
        <v>1210</v>
      </c>
      <c r="B18" s="138"/>
      <c r="C18" s="142">
        <v>0</v>
      </c>
      <c r="D18" s="584">
        <v>0</v>
      </c>
      <c r="E18" s="142">
        <v>11966.1</v>
      </c>
      <c r="F18" s="585">
        <v>100</v>
      </c>
      <c r="G18" s="138"/>
      <c r="H18" s="586"/>
      <c r="I18" s="15"/>
    </row>
    <row r="19" spans="1:9" ht="12.75" customHeight="1">
      <c r="A19" s="141" t="s">
        <v>1211</v>
      </c>
      <c r="B19" s="138"/>
      <c r="C19" s="142">
        <v>1497.7</v>
      </c>
      <c r="D19" s="584">
        <v>206.6655538492355</v>
      </c>
      <c r="E19" s="142">
        <v>22463.600000000002</v>
      </c>
      <c r="F19" s="585">
        <v>200.69065510425753</v>
      </c>
      <c r="G19" s="138"/>
      <c r="H19" s="586"/>
      <c r="I19" s="15"/>
    </row>
    <row r="20" spans="1:9" ht="12.75" customHeight="1">
      <c r="A20" s="141" t="s">
        <v>1212</v>
      </c>
      <c r="B20" s="138"/>
      <c r="C20" s="142">
        <v>497</v>
      </c>
      <c r="D20" s="584">
        <v>90</v>
      </c>
      <c r="E20" s="142">
        <v>34887.899999999994</v>
      </c>
      <c r="F20" s="585">
        <v>171.88387091226477</v>
      </c>
      <c r="G20" s="138"/>
      <c r="H20" s="586"/>
      <c r="I20" s="15"/>
    </row>
    <row r="21" spans="1:9" ht="12.75" customHeight="1">
      <c r="A21" s="141" t="s">
        <v>282</v>
      </c>
      <c r="B21" s="138"/>
      <c r="C21" s="142">
        <v>497</v>
      </c>
      <c r="D21" s="584">
        <v>115</v>
      </c>
      <c r="E21" s="142">
        <v>72516.49999999999</v>
      </c>
      <c r="F21" s="585">
        <v>180.8375542118001</v>
      </c>
      <c r="G21" s="138"/>
      <c r="H21" s="586"/>
      <c r="I21" s="15"/>
    </row>
    <row r="22" spans="1:9" ht="12.75" customHeight="1">
      <c r="A22" s="141" t="s">
        <v>283</v>
      </c>
      <c r="B22" s="138"/>
      <c r="C22" s="142">
        <v>11502.1</v>
      </c>
      <c r="D22" s="584">
        <v>218.22178558697973</v>
      </c>
      <c r="E22" s="142">
        <v>519357.2000000001</v>
      </c>
      <c r="F22" s="585">
        <v>262.4859518651132</v>
      </c>
      <c r="G22" s="138"/>
      <c r="H22" s="586"/>
      <c r="I22" s="15"/>
    </row>
    <row r="23" spans="1:9" ht="12.75" customHeight="1">
      <c r="A23" s="141" t="s">
        <v>284</v>
      </c>
      <c r="B23" s="138"/>
      <c r="C23" s="142">
        <v>0</v>
      </c>
      <c r="D23" s="584">
        <v>0</v>
      </c>
      <c r="E23" s="142">
        <v>37338.2</v>
      </c>
      <c r="F23" s="585">
        <v>109.71266424198275</v>
      </c>
      <c r="G23" s="138"/>
      <c r="H23" s="586"/>
      <c r="I23" s="15"/>
    </row>
    <row r="24" spans="1:9" ht="12.75" customHeight="1">
      <c r="A24" s="141" t="s">
        <v>285</v>
      </c>
      <c r="B24" s="138"/>
      <c r="C24" s="142">
        <v>0</v>
      </c>
      <c r="D24" s="584">
        <v>0</v>
      </c>
      <c r="E24" s="142">
        <v>105891.19999999998</v>
      </c>
      <c r="F24" s="585">
        <v>170.7727762080324</v>
      </c>
      <c r="G24" s="138"/>
      <c r="H24" s="586"/>
      <c r="I24" s="15"/>
    </row>
    <row r="25" spans="1:9" ht="12.75" customHeight="1">
      <c r="A25" s="141" t="s">
        <v>1213</v>
      </c>
      <c r="B25" s="138"/>
      <c r="C25" s="142">
        <v>0</v>
      </c>
      <c r="D25" s="584">
        <v>0</v>
      </c>
      <c r="E25" s="142">
        <v>23422</v>
      </c>
      <c r="F25" s="585">
        <v>133.88325932883612</v>
      </c>
      <c r="G25" s="138"/>
      <c r="H25" s="586"/>
      <c r="I25" s="15"/>
    </row>
    <row r="26" spans="1:9" ht="12.75" customHeight="1">
      <c r="A26" s="141" t="s">
        <v>286</v>
      </c>
      <c r="B26" s="138"/>
      <c r="C26" s="142">
        <v>9471.4</v>
      </c>
      <c r="D26" s="584">
        <v>143.4461114513166</v>
      </c>
      <c r="E26" s="142">
        <v>241425.4</v>
      </c>
      <c r="F26" s="585">
        <v>213.54977438165162</v>
      </c>
      <c r="G26" s="138"/>
      <c r="H26" s="586"/>
      <c r="I26" s="15"/>
    </row>
    <row r="27" spans="1:9" ht="12.75" customHeight="1">
      <c r="A27" s="141" t="s">
        <v>1214</v>
      </c>
      <c r="B27" s="138"/>
      <c r="C27" s="142">
        <v>0</v>
      </c>
      <c r="D27" s="584" t="e">
        <v>#DIV/0!</v>
      </c>
      <c r="E27" s="142">
        <v>12462.5</v>
      </c>
      <c r="F27" s="585">
        <v>193.64</v>
      </c>
      <c r="G27" s="138"/>
      <c r="H27" s="586"/>
      <c r="I27" s="15"/>
    </row>
    <row r="28" spans="1:9" ht="12.75" customHeight="1">
      <c r="A28" s="141" t="s">
        <v>287</v>
      </c>
      <c r="B28" s="138"/>
      <c r="C28" s="142">
        <v>497</v>
      </c>
      <c r="D28" s="584">
        <v>112</v>
      </c>
      <c r="E28" s="142">
        <v>177310.4</v>
      </c>
      <c r="F28" s="585">
        <v>172.61232843645945</v>
      </c>
      <c r="G28" s="138"/>
      <c r="H28" s="586"/>
      <c r="I28" s="15"/>
    </row>
    <row r="29" spans="1:9" ht="12.75" customHeight="1">
      <c r="A29" s="141" t="s">
        <v>288</v>
      </c>
      <c r="B29" s="138"/>
      <c r="C29" s="142">
        <v>12969.2</v>
      </c>
      <c r="D29" s="584">
        <v>125.58490886099374</v>
      </c>
      <c r="E29" s="142">
        <v>465104.39999999997</v>
      </c>
      <c r="F29" s="585">
        <v>173.90604217031702</v>
      </c>
      <c r="G29" s="138"/>
      <c r="H29" s="586"/>
      <c r="I29" s="15"/>
    </row>
    <row r="30" spans="1:9" ht="12.75" customHeight="1">
      <c r="A30" s="141" t="s">
        <v>1215</v>
      </c>
      <c r="B30" s="138"/>
      <c r="C30" s="142">
        <v>0</v>
      </c>
      <c r="D30" s="584">
        <v>0</v>
      </c>
      <c r="E30" s="142">
        <v>12483.4</v>
      </c>
      <c r="F30" s="585">
        <v>128.42010990595512</v>
      </c>
      <c r="G30" s="138"/>
      <c r="H30" s="586"/>
      <c r="I30" s="15"/>
    </row>
    <row r="31" spans="1:9" ht="12.75" customHeight="1">
      <c r="A31" s="141" t="s">
        <v>289</v>
      </c>
      <c r="B31" s="138"/>
      <c r="C31" s="142">
        <v>54925.3</v>
      </c>
      <c r="D31" s="584">
        <v>191.26356706290179</v>
      </c>
      <c r="E31" s="142">
        <v>413407.19999999995</v>
      </c>
      <c r="F31" s="585">
        <v>214.7231758421237</v>
      </c>
      <c r="G31" s="138"/>
      <c r="H31" s="586"/>
      <c r="I31" s="15"/>
    </row>
    <row r="32" spans="1:9" ht="12.75" customHeight="1">
      <c r="A32" s="141" t="s">
        <v>290</v>
      </c>
      <c r="B32" s="138"/>
      <c r="C32" s="142">
        <v>1990</v>
      </c>
      <c r="D32" s="584">
        <v>73</v>
      </c>
      <c r="E32" s="142">
        <v>56505.99999999999</v>
      </c>
      <c r="F32" s="585">
        <v>102.56626552932434</v>
      </c>
      <c r="G32" s="138"/>
      <c r="H32" s="586"/>
      <c r="I32" s="15"/>
    </row>
    <row r="33" spans="1:9" ht="12.75" customHeight="1">
      <c r="A33" s="141" t="s">
        <v>291</v>
      </c>
      <c r="B33" s="138"/>
      <c r="C33" s="142">
        <v>7485.4</v>
      </c>
      <c r="D33" s="584">
        <v>107.40100729419937</v>
      </c>
      <c r="E33" s="142">
        <v>234091</v>
      </c>
      <c r="F33" s="585">
        <v>133.6552656872755</v>
      </c>
      <c r="G33" s="138"/>
      <c r="H33" s="586"/>
      <c r="I33" s="15"/>
    </row>
    <row r="34" spans="1:9" ht="12.75" customHeight="1">
      <c r="A34" s="141" t="s">
        <v>292</v>
      </c>
      <c r="B34" s="138"/>
      <c r="C34" s="142">
        <v>1994.7</v>
      </c>
      <c r="D34" s="584">
        <v>121.75464982202837</v>
      </c>
      <c r="E34" s="142">
        <v>129599.19999999995</v>
      </c>
      <c r="F34" s="585">
        <v>206.50812119210624</v>
      </c>
      <c r="G34" s="138"/>
      <c r="H34" s="586"/>
      <c r="I34" s="15"/>
    </row>
    <row r="35" spans="1:9" ht="12.75" customHeight="1">
      <c r="A35" s="141" t="s">
        <v>294</v>
      </c>
      <c r="B35" s="138"/>
      <c r="C35" s="142">
        <v>0</v>
      </c>
      <c r="D35" s="584">
        <v>0</v>
      </c>
      <c r="E35" s="142">
        <v>21114.2</v>
      </c>
      <c r="F35" s="585">
        <v>88.11183942559983</v>
      </c>
      <c r="G35" s="138"/>
      <c r="H35" s="586"/>
      <c r="I35" s="15"/>
    </row>
    <row r="36" spans="1:9" ht="12.75" customHeight="1">
      <c r="A36" s="141" t="s">
        <v>295</v>
      </c>
      <c r="B36" s="138"/>
      <c r="C36" s="142">
        <v>2494.6</v>
      </c>
      <c r="D36" s="584">
        <v>100.60875491060692</v>
      </c>
      <c r="E36" s="142">
        <v>121250.4</v>
      </c>
      <c r="F36" s="585">
        <v>115.88366718790206</v>
      </c>
      <c r="G36" s="138"/>
      <c r="H36" s="586"/>
      <c r="I36" s="15"/>
    </row>
    <row r="37" spans="1:9" ht="12.75" customHeight="1">
      <c r="A37" s="141" t="s">
        <v>1216</v>
      </c>
      <c r="B37" s="138"/>
      <c r="C37" s="142">
        <v>0</v>
      </c>
      <c r="D37" s="584">
        <v>0</v>
      </c>
      <c r="E37" s="142">
        <v>8975.8</v>
      </c>
      <c r="F37" s="585">
        <v>171.7285478731701</v>
      </c>
      <c r="G37" s="138"/>
      <c r="H37" s="586"/>
      <c r="I37" s="15"/>
    </row>
    <row r="38" spans="1:9" ht="12.75" customHeight="1">
      <c r="A38" s="141" t="s">
        <v>293</v>
      </c>
      <c r="B38" s="138"/>
      <c r="C38" s="142">
        <v>1992.5</v>
      </c>
      <c r="D38" s="584">
        <v>99.49661229611041</v>
      </c>
      <c r="E38" s="142">
        <v>189359.80000000002</v>
      </c>
      <c r="F38" s="585">
        <v>178.47643533632797</v>
      </c>
      <c r="G38" s="138"/>
      <c r="H38" s="586"/>
      <c r="I38" s="15"/>
    </row>
    <row r="39" spans="1:9" ht="12.75" customHeight="1">
      <c r="A39" s="141" t="s">
        <v>1217</v>
      </c>
      <c r="B39" s="138"/>
      <c r="C39" s="142">
        <v>497</v>
      </c>
      <c r="D39" s="584">
        <v>135</v>
      </c>
      <c r="E39" s="142">
        <v>33879.8</v>
      </c>
      <c r="F39" s="585">
        <v>192.20977691721907</v>
      </c>
      <c r="G39" s="138"/>
      <c r="H39" s="586"/>
      <c r="I39" s="15"/>
    </row>
    <row r="40" spans="1:9" ht="12.75" customHeight="1">
      <c r="A40" s="141" t="s">
        <v>1218</v>
      </c>
      <c r="B40" s="138"/>
      <c r="C40" s="142">
        <v>997</v>
      </c>
      <c r="D40" s="584">
        <v>130</v>
      </c>
      <c r="E40" s="142">
        <v>33945.3</v>
      </c>
      <c r="F40" s="585">
        <v>174.21832182953162</v>
      </c>
      <c r="G40" s="138"/>
      <c r="H40" s="586"/>
      <c r="I40" s="15"/>
    </row>
    <row r="41" spans="1:9" ht="12.75" customHeight="1">
      <c r="A41" s="141" t="s">
        <v>296</v>
      </c>
      <c r="B41" s="138"/>
      <c r="C41" s="142">
        <v>4480.5</v>
      </c>
      <c r="D41" s="584">
        <v>84.24126771565673</v>
      </c>
      <c r="E41" s="142">
        <v>162129.40000000002</v>
      </c>
      <c r="F41" s="585">
        <v>150.2780741802535</v>
      </c>
      <c r="G41" s="138"/>
      <c r="H41" s="586"/>
      <c r="I41" s="15"/>
    </row>
    <row r="42" spans="1:9" ht="12.75" customHeight="1">
      <c r="A42" s="141" t="s">
        <v>297</v>
      </c>
      <c r="B42" s="138"/>
      <c r="C42" s="142">
        <v>5991</v>
      </c>
      <c r="D42" s="584">
        <v>83.33333333333333</v>
      </c>
      <c r="E42" s="142">
        <v>79485</v>
      </c>
      <c r="F42" s="585">
        <v>110.74261558784674</v>
      </c>
      <c r="G42" s="138"/>
      <c r="H42" s="586"/>
      <c r="I42" s="15"/>
    </row>
    <row r="43" spans="1:9" ht="12.75" customHeight="1">
      <c r="A43" s="141" t="s">
        <v>313</v>
      </c>
      <c r="B43" s="138"/>
      <c r="C43" s="142">
        <v>0</v>
      </c>
      <c r="D43" s="584">
        <v>0</v>
      </c>
      <c r="E43" s="142">
        <v>74222.5</v>
      </c>
      <c r="F43" s="585">
        <v>163.53864663680153</v>
      </c>
      <c r="G43" s="138"/>
      <c r="H43" s="586"/>
      <c r="I43" s="15"/>
    </row>
    <row r="44" spans="1:9" ht="12.75" customHeight="1">
      <c r="A44" s="141" t="s">
        <v>298</v>
      </c>
      <c r="B44" s="138"/>
      <c r="C44" s="142">
        <v>22455</v>
      </c>
      <c r="D44" s="584">
        <v>119.89434424404364</v>
      </c>
      <c r="E44" s="142">
        <v>542485.4</v>
      </c>
      <c r="F44" s="585">
        <v>168.82508119112515</v>
      </c>
      <c r="G44" s="138"/>
      <c r="H44" s="586"/>
      <c r="I44" s="15"/>
    </row>
    <row r="45" spans="1:9" ht="12.75" customHeight="1">
      <c r="A45" s="141" t="s">
        <v>1219</v>
      </c>
      <c r="B45" s="138"/>
      <c r="C45" s="142">
        <v>0</v>
      </c>
      <c r="D45" s="584">
        <v>0</v>
      </c>
      <c r="E45" s="142">
        <v>50410.2</v>
      </c>
      <c r="F45" s="585">
        <v>197.1566706737922</v>
      </c>
      <c r="G45" s="138"/>
      <c r="H45" s="586"/>
      <c r="I45" s="15"/>
    </row>
    <row r="46" spans="1:9" ht="12.75" customHeight="1">
      <c r="A46" s="141" t="s">
        <v>299</v>
      </c>
      <c r="B46" s="138"/>
      <c r="C46" s="142">
        <v>1491</v>
      </c>
      <c r="D46" s="584">
        <v>96</v>
      </c>
      <c r="E46" s="142">
        <v>77747.59999999999</v>
      </c>
      <c r="F46" s="585">
        <v>115.3709683642968</v>
      </c>
      <c r="G46" s="138"/>
      <c r="H46" s="586"/>
      <c r="I46" s="15"/>
    </row>
    <row r="47" spans="1:9" ht="12.75" customHeight="1">
      <c r="A47" s="141" t="s">
        <v>1220</v>
      </c>
      <c r="B47" s="138"/>
      <c r="C47" s="142">
        <v>0</v>
      </c>
      <c r="D47" s="584">
        <v>0</v>
      </c>
      <c r="E47" s="142">
        <v>17966.1</v>
      </c>
      <c r="F47" s="585">
        <v>108.66740694975537</v>
      </c>
      <c r="G47" s="138"/>
      <c r="H47" s="586"/>
      <c r="I47" s="15"/>
    </row>
    <row r="48" spans="1:9" ht="12.75" customHeight="1">
      <c r="A48" s="141" t="s">
        <v>300</v>
      </c>
      <c r="B48" s="138"/>
      <c r="C48" s="142">
        <v>2995.5</v>
      </c>
      <c r="D48" s="584">
        <v>95.33333333333333</v>
      </c>
      <c r="E48" s="142">
        <v>93071.2</v>
      </c>
      <c r="F48" s="585">
        <v>113.54569404928701</v>
      </c>
      <c r="G48" s="138"/>
      <c r="H48" s="586"/>
      <c r="I48" s="15"/>
    </row>
    <row r="49" spans="1:9" ht="12.75" customHeight="1">
      <c r="A49" s="141" t="s">
        <v>301</v>
      </c>
      <c r="B49" s="138"/>
      <c r="C49" s="142">
        <v>48388</v>
      </c>
      <c r="D49" s="584">
        <v>142.59961354054724</v>
      </c>
      <c r="E49" s="142">
        <v>773305.4000000001</v>
      </c>
      <c r="F49" s="585">
        <v>198.73751689823965</v>
      </c>
      <c r="G49" s="138"/>
      <c r="H49" s="586"/>
      <c r="I49" s="15"/>
    </row>
    <row r="50" spans="1:9" ht="12.75" customHeight="1">
      <c r="A50" s="141" t="s">
        <v>302</v>
      </c>
      <c r="B50" s="138"/>
      <c r="C50" s="142">
        <v>3986.4</v>
      </c>
      <c r="D50" s="584">
        <v>86.12439795304033</v>
      </c>
      <c r="E50" s="142">
        <v>186044.80000000005</v>
      </c>
      <c r="F50" s="585">
        <v>110.38221492887733</v>
      </c>
      <c r="G50" s="138"/>
      <c r="H50" s="586"/>
      <c r="I50" s="15"/>
    </row>
    <row r="51" spans="1:9" ht="12.75" customHeight="1">
      <c r="A51" s="141" t="s">
        <v>303</v>
      </c>
      <c r="B51" s="138"/>
      <c r="C51" s="142">
        <v>4489.3</v>
      </c>
      <c r="D51" s="584">
        <v>109.22629363152383</v>
      </c>
      <c r="E51" s="142">
        <v>177979.2</v>
      </c>
      <c r="F51" s="585">
        <v>126.10954650880554</v>
      </c>
      <c r="G51" s="138"/>
      <c r="H51" s="586"/>
      <c r="I51" s="15"/>
    </row>
    <row r="52" spans="1:9" ht="12.75" customHeight="1">
      <c r="A52" s="141" t="s">
        <v>314</v>
      </c>
      <c r="B52" s="138"/>
      <c r="C52" s="142">
        <v>998.5</v>
      </c>
      <c r="D52" s="584">
        <v>125</v>
      </c>
      <c r="E52" s="142">
        <v>62599.7</v>
      </c>
      <c r="F52" s="585">
        <v>165.74022559213543</v>
      </c>
      <c r="G52" s="138"/>
      <c r="H52" s="586"/>
      <c r="I52" s="15"/>
    </row>
    <row r="53" spans="1:9" ht="12.75" customHeight="1">
      <c r="A53" s="141" t="s">
        <v>1221</v>
      </c>
      <c r="B53" s="138"/>
      <c r="C53" s="587">
        <v>495.5</v>
      </c>
      <c r="D53" s="588">
        <v>85</v>
      </c>
      <c r="E53" s="587">
        <v>11915</v>
      </c>
      <c r="F53" s="589">
        <v>98.47381451951321</v>
      </c>
      <c r="G53" s="138"/>
      <c r="H53" s="586"/>
      <c r="I53" s="15"/>
    </row>
    <row r="54" spans="1:9" ht="12.75" customHeight="1">
      <c r="A54" s="143" t="s">
        <v>304</v>
      </c>
      <c r="B54" s="144"/>
      <c r="C54" s="145">
        <v>230764.49999999997</v>
      </c>
      <c r="D54" s="590">
        <v>141.65928511534491</v>
      </c>
      <c r="E54" s="145">
        <v>5990873.4</v>
      </c>
      <c r="F54" s="591">
        <v>175.8706295813228</v>
      </c>
      <c r="G54" s="138"/>
      <c r="H54" s="586"/>
      <c r="I54" s="15"/>
    </row>
    <row r="55" spans="1:9" ht="12.75" customHeight="1">
      <c r="A55" s="146" t="s">
        <v>36</v>
      </c>
      <c r="B55" s="144"/>
      <c r="C55" s="145"/>
      <c r="D55" s="590"/>
      <c r="E55" s="145"/>
      <c r="F55" s="591"/>
      <c r="G55" s="138"/>
      <c r="H55" s="586"/>
      <c r="I55" s="15"/>
    </row>
    <row r="56" spans="1:9" ht="12.75" customHeight="1">
      <c r="A56" s="146" t="s">
        <v>1222</v>
      </c>
      <c r="B56" s="144"/>
      <c r="C56" s="145" t="s">
        <v>0</v>
      </c>
      <c r="D56" s="590" t="s">
        <v>1</v>
      </c>
      <c r="E56" s="145" t="s">
        <v>0</v>
      </c>
      <c r="F56" s="592" t="s">
        <v>1</v>
      </c>
      <c r="G56" s="138"/>
      <c r="H56" s="586"/>
      <c r="I56" s="15"/>
    </row>
    <row r="57" spans="1:9" ht="12.75" customHeight="1">
      <c r="A57" s="143" t="s">
        <v>1223</v>
      </c>
      <c r="B57" s="144"/>
      <c r="C57" s="593">
        <v>0</v>
      </c>
      <c r="D57" s="594">
        <v>0</v>
      </c>
      <c r="E57" s="595">
        <v>10979.6</v>
      </c>
      <c r="F57" s="596">
        <v>122.77976429013806</v>
      </c>
      <c r="G57" s="138"/>
      <c r="H57" s="586"/>
      <c r="I57" s="15"/>
    </row>
    <row r="58" spans="1:9" ht="12.75" customHeight="1">
      <c r="A58" s="143" t="s">
        <v>1224</v>
      </c>
      <c r="B58" s="144"/>
      <c r="C58" s="147">
        <v>0</v>
      </c>
      <c r="D58" s="597">
        <v>0</v>
      </c>
      <c r="E58" s="147">
        <v>11368.6</v>
      </c>
      <c r="F58" s="598">
        <v>145.43879633376142</v>
      </c>
      <c r="G58" s="138"/>
      <c r="H58" s="586"/>
      <c r="I58" s="15"/>
    </row>
    <row r="59" spans="1:9" ht="12.75" customHeight="1">
      <c r="A59" s="143" t="s">
        <v>1225</v>
      </c>
      <c r="B59" s="144"/>
      <c r="C59" s="147">
        <v>0</v>
      </c>
      <c r="D59" s="597">
        <v>0</v>
      </c>
      <c r="E59" s="145">
        <v>43903.5</v>
      </c>
      <c r="F59" s="599">
        <v>161.5758242509139</v>
      </c>
      <c r="G59" s="138"/>
      <c r="H59" s="586"/>
      <c r="I59" s="15"/>
    </row>
    <row r="60" spans="1:9" ht="12.75" customHeight="1">
      <c r="A60" s="143" t="s">
        <v>304</v>
      </c>
      <c r="B60" s="144"/>
      <c r="C60" s="145">
        <v>0</v>
      </c>
      <c r="D60" s="590">
        <v>0</v>
      </c>
      <c r="E60" s="145">
        <v>66251.7</v>
      </c>
      <c r="F60" s="599">
        <v>152.3772582439394</v>
      </c>
      <c r="G60" s="138"/>
      <c r="H60" s="586"/>
      <c r="I60" s="15"/>
    </row>
    <row r="61" spans="1:9" ht="12.75" customHeight="1">
      <c r="A61" s="143" t="s">
        <v>1226</v>
      </c>
      <c r="B61" s="144"/>
      <c r="C61" s="145">
        <v>230764.49999999997</v>
      </c>
      <c r="D61" s="590">
        <v>141.65928511534491</v>
      </c>
      <c r="E61" s="145">
        <v>6057125.100000001</v>
      </c>
      <c r="F61" s="599">
        <v>175.61366348533892</v>
      </c>
      <c r="G61" s="138"/>
      <c r="H61" s="586"/>
      <c r="I61" s="15"/>
    </row>
    <row r="62" spans="1:9" ht="12.75" customHeight="1">
      <c r="A62" s="146" t="s">
        <v>1227</v>
      </c>
      <c r="B62" s="144"/>
      <c r="C62" s="145" t="s">
        <v>306</v>
      </c>
      <c r="D62" s="590" t="s">
        <v>307</v>
      </c>
      <c r="E62" s="145" t="s">
        <v>306</v>
      </c>
      <c r="F62" s="592" t="s">
        <v>307</v>
      </c>
      <c r="G62" s="138"/>
      <c r="H62" s="586"/>
      <c r="I62" s="15"/>
    </row>
    <row r="63" spans="1:9" ht="12.75" customHeight="1">
      <c r="A63" s="143" t="s">
        <v>287</v>
      </c>
      <c r="B63" s="144"/>
      <c r="C63" s="147">
        <v>17</v>
      </c>
      <c r="D63" s="597">
        <v>1000</v>
      </c>
      <c r="E63" s="147">
        <v>201</v>
      </c>
      <c r="F63" s="600">
        <v>1250.547263681592</v>
      </c>
      <c r="G63" s="138"/>
      <c r="H63" s="586"/>
      <c r="I63" s="15"/>
    </row>
    <row r="64" spans="1:9" ht="12.75" customHeight="1">
      <c r="A64" s="143" t="s">
        <v>1218</v>
      </c>
      <c r="B64" s="144"/>
      <c r="C64" s="145">
        <v>0</v>
      </c>
      <c r="D64" s="590">
        <v>0</v>
      </c>
      <c r="E64" s="145">
        <v>12</v>
      </c>
      <c r="F64" s="592">
        <v>1212.5</v>
      </c>
      <c r="G64" s="138"/>
      <c r="H64" s="586"/>
      <c r="I64" s="15"/>
    </row>
    <row r="65" spans="1:9" ht="12.75" customHeight="1">
      <c r="A65" s="143" t="s">
        <v>304</v>
      </c>
      <c r="B65" s="144"/>
      <c r="C65" s="145">
        <v>17</v>
      </c>
      <c r="D65" s="590">
        <v>1000</v>
      </c>
      <c r="E65" s="145">
        <v>213</v>
      </c>
      <c r="F65" s="592">
        <v>1248.4037558685445</v>
      </c>
      <c r="G65" s="138"/>
      <c r="H65" s="586"/>
      <c r="I65" s="15"/>
    </row>
    <row r="66" spans="1:9" ht="12.75" customHeight="1">
      <c r="A66" s="143" t="s">
        <v>1226</v>
      </c>
      <c r="B66" s="144"/>
      <c r="C66" s="145">
        <v>230781.49999999997</v>
      </c>
      <c r="D66" s="590">
        <v>141.7225128530667</v>
      </c>
      <c r="E66" s="145">
        <v>6057338.100000001</v>
      </c>
      <c r="F66" s="592">
        <v>175.65138703418253</v>
      </c>
      <c r="G66" s="138"/>
      <c r="H66" s="586"/>
      <c r="I66" s="15"/>
    </row>
    <row r="67" spans="1:9" ht="12.75" customHeight="1">
      <c r="A67" s="146" t="s">
        <v>1228</v>
      </c>
      <c r="B67" s="144"/>
      <c r="C67" s="145" t="s">
        <v>0</v>
      </c>
      <c r="D67" s="590" t="s">
        <v>1</v>
      </c>
      <c r="E67" s="145" t="s">
        <v>0</v>
      </c>
      <c r="F67" s="591" t="s">
        <v>1</v>
      </c>
      <c r="G67" s="138"/>
      <c r="H67" s="586"/>
      <c r="I67" s="15"/>
    </row>
    <row r="68" spans="1:9" ht="12.75" customHeight="1">
      <c r="A68" s="143" t="s">
        <v>278</v>
      </c>
      <c r="B68" s="144"/>
      <c r="C68" s="593">
        <v>0</v>
      </c>
      <c r="D68" s="594">
        <v>0</v>
      </c>
      <c r="E68" s="142">
        <v>1183</v>
      </c>
      <c r="F68" s="596">
        <v>217.62890955198648</v>
      </c>
      <c r="G68" s="138"/>
      <c r="H68" s="586"/>
      <c r="I68" s="15"/>
    </row>
    <row r="69" spans="1:9" ht="12.75" customHeight="1">
      <c r="A69" s="143" t="s">
        <v>294</v>
      </c>
      <c r="B69" s="144"/>
      <c r="C69" s="147">
        <v>0</v>
      </c>
      <c r="D69" s="597">
        <v>0</v>
      </c>
      <c r="E69" s="145">
        <v>497</v>
      </c>
      <c r="F69" s="592">
        <v>115</v>
      </c>
      <c r="G69" s="138"/>
      <c r="H69" s="586"/>
      <c r="I69" s="15"/>
    </row>
    <row r="70" spans="1:9" ht="12.75" customHeight="1">
      <c r="A70" s="143" t="s">
        <v>304</v>
      </c>
      <c r="B70" s="144"/>
      <c r="C70" s="145">
        <v>0</v>
      </c>
      <c r="D70" s="590">
        <v>0</v>
      </c>
      <c r="E70" s="145">
        <v>1680</v>
      </c>
      <c r="F70" s="592">
        <v>187.26785714285714</v>
      </c>
      <c r="G70" s="138"/>
      <c r="H70" s="586"/>
      <c r="I70" s="15"/>
    </row>
    <row r="71" spans="1:9" ht="12.75" customHeight="1">
      <c r="A71" s="143" t="s">
        <v>308</v>
      </c>
      <c r="B71" s="144"/>
      <c r="C71" s="145">
        <v>230781.49999999997</v>
      </c>
      <c r="D71" s="590">
        <v>141.7225128530667</v>
      </c>
      <c r="E71" s="145">
        <v>6059018.100000001</v>
      </c>
      <c r="F71" s="592">
        <v>175.65460796362365</v>
      </c>
      <c r="G71" s="138"/>
      <c r="H71" s="586"/>
      <c r="I71" s="15"/>
    </row>
    <row r="72" spans="1:9" ht="12.75" customHeight="1">
      <c r="A72" s="143"/>
      <c r="B72" s="144"/>
      <c r="C72" s="145" t="s">
        <v>1384</v>
      </c>
      <c r="D72" s="590"/>
      <c r="E72" s="601"/>
      <c r="F72" s="591"/>
      <c r="G72" s="145" t="s">
        <v>1386</v>
      </c>
      <c r="H72" s="586"/>
      <c r="I72" s="15"/>
    </row>
    <row r="73" spans="1:10" ht="12.75" customHeight="1">
      <c r="A73" s="602" t="s">
        <v>40</v>
      </c>
      <c r="B73" s="603" t="s">
        <v>41</v>
      </c>
      <c r="C73" s="604" t="s">
        <v>0</v>
      </c>
      <c r="D73" s="605" t="s">
        <v>164</v>
      </c>
      <c r="E73" s="604" t="s">
        <v>41</v>
      </c>
      <c r="F73" s="606" t="s">
        <v>0</v>
      </c>
      <c r="G73" s="607" t="s">
        <v>164</v>
      </c>
      <c r="H73" s="608" t="s">
        <v>2</v>
      </c>
      <c r="I73" s="15"/>
      <c r="J73" s="552"/>
    </row>
    <row r="74" spans="1:10" ht="12.75" customHeight="1">
      <c r="A74" s="143" t="s">
        <v>42</v>
      </c>
      <c r="B74" s="609">
        <v>0</v>
      </c>
      <c r="C74" s="610">
        <v>0</v>
      </c>
      <c r="D74" s="597">
        <v>0</v>
      </c>
      <c r="E74" s="609">
        <v>5</v>
      </c>
      <c r="F74" s="610">
        <v>249.5</v>
      </c>
      <c r="G74" s="597">
        <v>210</v>
      </c>
      <c r="H74" s="597">
        <v>4.117828926769504E-05</v>
      </c>
      <c r="I74" s="15"/>
      <c r="J74" s="552"/>
    </row>
    <row r="75" spans="1:10" ht="12.75" customHeight="1">
      <c r="A75" s="143" t="s">
        <v>43</v>
      </c>
      <c r="B75" s="611">
        <v>4627</v>
      </c>
      <c r="C75" s="612">
        <v>230781.5</v>
      </c>
      <c r="D75" s="590">
        <v>141.72251285306666</v>
      </c>
      <c r="E75" s="611">
        <v>121483</v>
      </c>
      <c r="F75" s="613">
        <v>6058768.600000001</v>
      </c>
      <c r="G75" s="614">
        <v>175.65319362089514</v>
      </c>
      <c r="H75" s="615">
        <v>0.9999588217107324</v>
      </c>
      <c r="I75" s="15"/>
      <c r="J75" s="552"/>
    </row>
    <row r="76" spans="1:9" ht="12.75" customHeight="1">
      <c r="A76" s="143" t="s">
        <v>44</v>
      </c>
      <c r="B76" s="611">
        <v>4627</v>
      </c>
      <c r="C76" s="612">
        <v>230781.5</v>
      </c>
      <c r="D76" s="590">
        <v>141.72251285306666</v>
      </c>
      <c r="E76" s="611">
        <v>121488</v>
      </c>
      <c r="F76" s="613">
        <v>6059018.100000001</v>
      </c>
      <c r="G76" s="614">
        <v>175.65460796362365</v>
      </c>
      <c r="H76" s="615">
        <v>1</v>
      </c>
      <c r="I76" s="15"/>
    </row>
    <row r="77" spans="1:9" ht="12.75" customHeight="1">
      <c r="A77" s="143"/>
      <c r="B77" s="616"/>
      <c r="C77" s="145"/>
      <c r="D77" s="590"/>
      <c r="E77" s="616"/>
      <c r="F77" s="617"/>
      <c r="G77" s="591"/>
      <c r="H77" s="618"/>
      <c r="I77" s="15"/>
    </row>
    <row r="78" spans="1:9" ht="12.75" customHeight="1">
      <c r="A78" s="395"/>
      <c r="B78" s="396"/>
      <c r="C78" s="397"/>
      <c r="D78" s="398"/>
      <c r="E78" s="399"/>
      <c r="F78" s="400"/>
      <c r="G78" s="444"/>
      <c r="H78" s="396"/>
      <c r="I78" s="15"/>
    </row>
    <row r="79" spans="1:9" ht="12.75" customHeight="1">
      <c r="A79" s="395"/>
      <c r="B79" s="396"/>
      <c r="C79" s="397"/>
      <c r="D79" s="398"/>
      <c r="E79" s="399"/>
      <c r="F79" s="400"/>
      <c r="G79" s="444"/>
      <c r="H79" s="396"/>
      <c r="I79" s="15"/>
    </row>
    <row r="80" spans="1:9" ht="12.75" customHeight="1">
      <c r="A80" s="395"/>
      <c r="B80" s="396"/>
      <c r="C80" s="397"/>
      <c r="D80" s="398"/>
      <c r="E80" s="399"/>
      <c r="F80" s="400"/>
      <c r="G80" s="444"/>
      <c r="H80" s="396"/>
      <c r="I80" s="15"/>
    </row>
    <row r="81" spans="1:9" ht="12.75" customHeight="1">
      <c r="A81" s="395"/>
      <c r="B81" s="396"/>
      <c r="C81" s="397"/>
      <c r="D81" s="398"/>
      <c r="E81" s="399"/>
      <c r="F81" s="400"/>
      <c r="G81" s="444"/>
      <c r="H81" s="396"/>
      <c r="I81" s="15"/>
    </row>
    <row r="82" spans="1:9" ht="12.75" customHeight="1">
      <c r="A82" s="395"/>
      <c r="B82" s="396"/>
      <c r="C82" s="397"/>
      <c r="D82" s="398"/>
      <c r="E82" s="399"/>
      <c r="F82" s="400"/>
      <c r="G82" s="444"/>
      <c r="H82" s="396"/>
      <c r="I82" s="15"/>
    </row>
    <row r="83" spans="1:9" ht="12.75" customHeight="1">
      <c r="A83" s="395"/>
      <c r="B83" s="396"/>
      <c r="C83" s="397"/>
      <c r="D83" s="398"/>
      <c r="E83" s="399"/>
      <c r="F83" s="400"/>
      <c r="G83" s="444"/>
      <c r="H83" s="396"/>
      <c r="I83" s="15"/>
    </row>
    <row r="84" spans="1:9" ht="12.75" customHeight="1">
      <c r="A84" s="395"/>
      <c r="B84" s="396"/>
      <c r="C84" s="397"/>
      <c r="D84" s="398"/>
      <c r="E84" s="399"/>
      <c r="F84" s="400"/>
      <c r="G84" s="444"/>
      <c r="H84" s="396"/>
      <c r="I84" s="15"/>
    </row>
    <row r="85" spans="1:9" ht="12.75" customHeight="1">
      <c r="A85" s="395"/>
      <c r="B85" s="396"/>
      <c r="C85" s="397"/>
      <c r="D85" s="398"/>
      <c r="E85" s="399"/>
      <c r="F85" s="400"/>
      <c r="G85" s="444"/>
      <c r="H85" s="396"/>
      <c r="I85" s="15"/>
    </row>
    <row r="86" spans="1:9" ht="12.75" customHeight="1">
      <c r="A86" s="395"/>
      <c r="B86" s="396"/>
      <c r="C86" s="397"/>
      <c r="D86" s="398"/>
      <c r="E86" s="399"/>
      <c r="F86" s="400"/>
      <c r="G86" s="444"/>
      <c r="H86" s="396"/>
      <c r="I86" s="15"/>
    </row>
    <row r="87" spans="1:9" ht="12.75" customHeight="1">
      <c r="A87" s="395"/>
      <c r="B87" s="396"/>
      <c r="C87" s="397"/>
      <c r="D87" s="398"/>
      <c r="E87" s="399"/>
      <c r="F87" s="400"/>
      <c r="G87" s="444"/>
      <c r="H87" s="396"/>
      <c r="I87" s="15"/>
    </row>
    <row r="88" spans="1:9" ht="12.75" customHeight="1">
      <c r="A88" s="395"/>
      <c r="B88" s="396"/>
      <c r="C88" s="397"/>
      <c r="D88" s="398"/>
      <c r="E88" s="399"/>
      <c r="F88" s="400"/>
      <c r="G88" s="444"/>
      <c r="H88" s="396"/>
      <c r="I88" s="15"/>
    </row>
    <row r="89" spans="1:9" ht="12.75" customHeight="1">
      <c r="A89" s="395"/>
      <c r="B89" s="396"/>
      <c r="C89" s="397"/>
      <c r="D89" s="398"/>
      <c r="E89" s="399"/>
      <c r="F89" s="400"/>
      <c r="G89" s="444"/>
      <c r="H89" s="396"/>
      <c r="I89" s="15"/>
    </row>
    <row r="90" spans="1:9" ht="12.75" customHeight="1">
      <c r="A90" s="395"/>
      <c r="B90" s="396"/>
      <c r="C90" s="397"/>
      <c r="D90" s="398"/>
      <c r="E90" s="399"/>
      <c r="F90" s="400"/>
      <c r="G90" s="444"/>
      <c r="H90" s="396"/>
      <c r="I90" s="15"/>
    </row>
    <row r="91" spans="1:9" ht="12.75" customHeight="1">
      <c r="A91" s="395"/>
      <c r="B91" s="396"/>
      <c r="C91" s="397"/>
      <c r="D91" s="398"/>
      <c r="E91" s="399"/>
      <c r="F91" s="400"/>
      <c r="G91" s="444"/>
      <c r="H91" s="396"/>
      <c r="I91" s="15"/>
    </row>
    <row r="92" spans="1:9" ht="12.75" customHeight="1">
      <c r="A92" s="395"/>
      <c r="B92" s="396"/>
      <c r="C92" s="397"/>
      <c r="D92" s="398"/>
      <c r="E92" s="399"/>
      <c r="F92" s="400"/>
      <c r="G92" s="444"/>
      <c r="H92" s="396"/>
      <c r="I92" s="15"/>
    </row>
    <row r="93" spans="1:9" ht="12.75" customHeight="1">
      <c r="A93" s="395"/>
      <c r="B93" s="396"/>
      <c r="C93" s="397"/>
      <c r="D93" s="398"/>
      <c r="E93" s="399"/>
      <c r="F93" s="400"/>
      <c r="G93" s="444"/>
      <c r="H93" s="396"/>
      <c r="I93" s="15"/>
    </row>
    <row r="94" spans="1:9" ht="12.75" customHeight="1">
      <c r="A94" s="395"/>
      <c r="B94" s="396"/>
      <c r="C94" s="397"/>
      <c r="D94" s="398"/>
      <c r="E94" s="399"/>
      <c r="F94" s="400"/>
      <c r="G94" s="444"/>
      <c r="H94" s="396"/>
      <c r="I94" s="15"/>
    </row>
    <row r="95" spans="1:9" ht="12.75" customHeight="1">
      <c r="A95" s="395"/>
      <c r="B95" s="396"/>
      <c r="C95" s="397"/>
      <c r="D95" s="398"/>
      <c r="E95" s="399"/>
      <c r="F95" s="400"/>
      <c r="G95" s="444"/>
      <c r="H95" s="396"/>
      <c r="I95" s="15"/>
    </row>
    <row r="96" spans="1:9" ht="12.75" customHeight="1">
      <c r="A96" s="395"/>
      <c r="B96" s="396"/>
      <c r="C96" s="397"/>
      <c r="D96" s="398"/>
      <c r="E96" s="399"/>
      <c r="F96" s="400"/>
      <c r="G96" s="444"/>
      <c r="H96" s="396"/>
      <c r="I96" s="15"/>
    </row>
    <row r="97" spans="1:9" ht="12.75" customHeight="1">
      <c r="A97" s="395"/>
      <c r="B97" s="396"/>
      <c r="C97" s="397"/>
      <c r="D97" s="398"/>
      <c r="E97" s="399"/>
      <c r="F97" s="400"/>
      <c r="G97" s="444"/>
      <c r="H97" s="396"/>
      <c r="I97" s="15"/>
    </row>
    <row r="98" spans="1:9" ht="12.75" customHeight="1">
      <c r="A98" s="395"/>
      <c r="B98" s="396"/>
      <c r="C98" s="397"/>
      <c r="D98" s="398"/>
      <c r="E98" s="399"/>
      <c r="F98" s="400"/>
      <c r="G98" s="444"/>
      <c r="H98" s="396"/>
      <c r="I98" s="15"/>
    </row>
    <row r="99" spans="1:9" ht="12.75" customHeight="1">
      <c r="A99" s="395"/>
      <c r="B99" s="396"/>
      <c r="C99" s="397"/>
      <c r="D99" s="398"/>
      <c r="E99" s="399"/>
      <c r="F99" s="400"/>
      <c r="G99" s="444"/>
      <c r="H99" s="396"/>
      <c r="I99" s="15"/>
    </row>
    <row r="100" spans="1:9" ht="12.75" customHeight="1">
      <c r="A100" s="395"/>
      <c r="B100" s="396"/>
      <c r="C100" s="397"/>
      <c r="D100" s="398"/>
      <c r="E100" s="399"/>
      <c r="F100" s="400"/>
      <c r="G100" s="444"/>
      <c r="H100" s="396"/>
      <c r="I100" s="15"/>
    </row>
    <row r="101" spans="1:9" ht="12.75" customHeight="1">
      <c r="A101" s="395"/>
      <c r="B101" s="396"/>
      <c r="C101" s="397"/>
      <c r="D101" s="398"/>
      <c r="E101" s="399"/>
      <c r="F101" s="400"/>
      <c r="G101" s="444"/>
      <c r="H101" s="396"/>
      <c r="I101" s="15"/>
    </row>
    <row r="102" spans="1:9" ht="12.75" customHeight="1">
      <c r="A102" s="395"/>
      <c r="B102" s="396"/>
      <c r="C102" s="397"/>
      <c r="D102" s="398"/>
      <c r="E102" s="399"/>
      <c r="F102" s="400"/>
      <c r="G102" s="444"/>
      <c r="H102" s="396"/>
      <c r="I102" s="15"/>
    </row>
    <row r="103" spans="1:9" ht="12.75" customHeight="1">
      <c r="A103" s="395"/>
      <c r="B103" s="396"/>
      <c r="C103" s="397"/>
      <c r="D103" s="398"/>
      <c r="E103" s="399"/>
      <c r="F103" s="400"/>
      <c r="G103" s="444"/>
      <c r="H103" s="396"/>
      <c r="I103" s="15"/>
    </row>
    <row r="104" spans="1:9" ht="12.75" customHeight="1">
      <c r="A104" s="395"/>
      <c r="B104" s="396"/>
      <c r="C104" s="397"/>
      <c r="D104" s="398"/>
      <c r="E104" s="399"/>
      <c r="F104" s="400"/>
      <c r="G104" s="444"/>
      <c r="H104" s="396"/>
      <c r="I104" s="15"/>
    </row>
    <row r="105" spans="1:9" ht="12.75" customHeight="1">
      <c r="A105" s="395"/>
      <c r="B105" s="396"/>
      <c r="C105" s="397"/>
      <c r="D105" s="398"/>
      <c r="E105" s="399"/>
      <c r="F105" s="400"/>
      <c r="G105" s="444"/>
      <c r="H105" s="396"/>
      <c r="I105" s="15"/>
    </row>
    <row r="106" spans="1:9" ht="12.75" customHeight="1">
      <c r="A106" s="395"/>
      <c r="B106" s="396"/>
      <c r="C106" s="397"/>
      <c r="D106" s="398"/>
      <c r="E106" s="399"/>
      <c r="F106" s="400"/>
      <c r="G106" s="444"/>
      <c r="H106" s="396"/>
      <c r="I106" s="15"/>
    </row>
    <row r="107" spans="1:9" ht="12.75" customHeight="1">
      <c r="A107" s="395"/>
      <c r="B107" s="396"/>
      <c r="C107" s="397"/>
      <c r="D107" s="398"/>
      <c r="E107" s="399"/>
      <c r="F107" s="400"/>
      <c r="G107" s="444"/>
      <c r="H107" s="396"/>
      <c r="I107" s="15"/>
    </row>
    <row r="108" spans="1:9" ht="12.75" customHeight="1">
      <c r="A108" s="395"/>
      <c r="B108" s="396"/>
      <c r="C108" s="397"/>
      <c r="D108" s="398"/>
      <c r="E108" s="399"/>
      <c r="F108" s="400"/>
      <c r="G108" s="444"/>
      <c r="H108" s="396"/>
      <c r="I108" s="15"/>
    </row>
    <row r="109" spans="1:9" ht="12.75" customHeight="1">
      <c r="A109" s="395"/>
      <c r="B109" s="396"/>
      <c r="C109" s="397"/>
      <c r="D109" s="398"/>
      <c r="E109" s="399"/>
      <c r="F109" s="400"/>
      <c r="G109" s="444"/>
      <c r="H109" s="396"/>
      <c r="I109" s="15"/>
    </row>
    <row r="110" spans="1:9" ht="12.75" customHeight="1">
      <c r="A110" s="395"/>
      <c r="B110" s="396"/>
      <c r="C110" s="397"/>
      <c r="D110" s="398"/>
      <c r="E110" s="399"/>
      <c r="F110" s="400"/>
      <c r="G110" s="444"/>
      <c r="H110" s="396"/>
      <c r="I110" s="15"/>
    </row>
    <row r="111" spans="1:9" ht="12.75" customHeight="1">
      <c r="A111" s="395"/>
      <c r="B111" s="396"/>
      <c r="C111" s="397"/>
      <c r="D111" s="398"/>
      <c r="E111" s="399"/>
      <c r="F111" s="400"/>
      <c r="G111" s="444"/>
      <c r="H111" s="396"/>
      <c r="I111" s="15"/>
    </row>
    <row r="112" spans="1:9" ht="12.75" customHeight="1">
      <c r="A112" s="395"/>
      <c r="B112" s="396"/>
      <c r="C112" s="397"/>
      <c r="D112" s="398"/>
      <c r="E112" s="399"/>
      <c r="F112" s="400"/>
      <c r="G112" s="444"/>
      <c r="H112" s="396"/>
      <c r="I112" s="15"/>
    </row>
    <row r="113" spans="1:9" ht="12.75" customHeight="1">
      <c r="A113" s="395"/>
      <c r="B113" s="396"/>
      <c r="C113" s="397"/>
      <c r="D113" s="398"/>
      <c r="E113" s="399"/>
      <c r="F113" s="400"/>
      <c r="G113" s="444"/>
      <c r="H113" s="396"/>
      <c r="I113" s="15"/>
    </row>
    <row r="114" spans="1:9" ht="12.75" customHeight="1">
      <c r="A114" s="395"/>
      <c r="B114" s="396"/>
      <c r="C114" s="397"/>
      <c r="D114" s="398"/>
      <c r="E114" s="399"/>
      <c r="F114" s="400"/>
      <c r="G114" s="444"/>
      <c r="H114" s="396"/>
      <c r="I114" s="15"/>
    </row>
    <row r="115" spans="1:9" ht="12.75" customHeight="1">
      <c r="A115" s="395"/>
      <c r="B115" s="396"/>
      <c r="C115" s="397"/>
      <c r="D115" s="398"/>
      <c r="E115" s="399"/>
      <c r="F115" s="400"/>
      <c r="G115" s="444"/>
      <c r="H115" s="396"/>
      <c r="I115" s="15"/>
    </row>
    <row r="116" spans="1:9" ht="12.75" customHeight="1">
      <c r="A116" s="395"/>
      <c r="B116" s="396"/>
      <c r="C116" s="397"/>
      <c r="D116" s="398"/>
      <c r="E116" s="399"/>
      <c r="F116" s="400"/>
      <c r="G116" s="444"/>
      <c r="H116" s="396"/>
      <c r="I116" s="15"/>
    </row>
    <row r="117" spans="1:9" ht="12.75" customHeight="1">
      <c r="A117" s="395"/>
      <c r="B117" s="396"/>
      <c r="C117" s="397"/>
      <c r="D117" s="398"/>
      <c r="E117" s="399"/>
      <c r="F117" s="400"/>
      <c r="G117" s="444"/>
      <c r="H117" s="396"/>
      <c r="I117" s="15"/>
    </row>
    <row r="118" spans="1:9" ht="12.75" customHeight="1">
      <c r="A118" s="395"/>
      <c r="B118" s="396"/>
      <c r="C118" s="397"/>
      <c r="D118" s="398"/>
      <c r="E118" s="397"/>
      <c r="F118" s="400"/>
      <c r="G118" s="444"/>
      <c r="H118" s="396"/>
      <c r="I118" s="15"/>
    </row>
    <row r="119" spans="1:9" ht="12.75" customHeight="1">
      <c r="A119" s="395"/>
      <c r="B119" s="406"/>
      <c r="C119" s="397"/>
      <c r="D119" s="398"/>
      <c r="E119" s="399"/>
      <c r="F119" s="400"/>
      <c r="G119" s="444"/>
      <c r="H119" s="396"/>
      <c r="I119" s="15"/>
    </row>
    <row r="120" spans="1:9" ht="12.75" customHeight="1">
      <c r="A120" s="395"/>
      <c r="B120" s="406"/>
      <c r="C120" s="407"/>
      <c r="D120" s="408"/>
      <c r="E120" s="409"/>
      <c r="F120" s="394"/>
      <c r="G120" s="444"/>
      <c r="H120" s="396"/>
      <c r="I120" s="15"/>
    </row>
    <row r="121" spans="1:9" ht="12.75" customHeight="1">
      <c r="A121" s="395"/>
      <c r="B121" s="406"/>
      <c r="C121" s="407"/>
      <c r="D121" s="408"/>
      <c r="E121" s="409"/>
      <c r="F121" s="394"/>
      <c r="G121" s="444"/>
      <c r="H121" s="396"/>
      <c r="I121" s="15"/>
    </row>
    <row r="122" spans="1:9" ht="12.75" customHeight="1">
      <c r="A122" s="405"/>
      <c r="B122" s="406"/>
      <c r="C122" s="407"/>
      <c r="D122" s="408"/>
      <c r="E122" s="409"/>
      <c r="F122" s="394"/>
      <c r="G122" s="444"/>
      <c r="H122" s="396"/>
      <c r="I122" s="15"/>
    </row>
    <row r="123" spans="1:9" ht="12.75" customHeight="1">
      <c r="A123" s="405"/>
      <c r="B123" s="406"/>
      <c r="C123" s="407"/>
      <c r="D123" s="408"/>
      <c r="E123" s="409"/>
      <c r="F123" s="394"/>
      <c r="G123" s="444"/>
      <c r="H123" s="396"/>
      <c r="I123" s="15"/>
    </row>
    <row r="124" spans="1:9" ht="12.75" customHeight="1">
      <c r="A124" s="395"/>
      <c r="B124" s="396"/>
      <c r="C124" s="397"/>
      <c r="D124" s="398"/>
      <c r="E124" s="399"/>
      <c r="F124" s="400"/>
      <c r="G124" s="444"/>
      <c r="H124" s="396"/>
      <c r="I124" s="15"/>
    </row>
    <row r="125" spans="1:9" ht="12.75" customHeight="1">
      <c r="A125" s="395"/>
      <c r="B125" s="396"/>
      <c r="C125" s="397"/>
      <c r="D125" s="398"/>
      <c r="E125" s="399"/>
      <c r="F125" s="400"/>
      <c r="G125" s="444"/>
      <c r="H125" s="396"/>
      <c r="I125" s="15"/>
    </row>
    <row r="126" spans="1:9" ht="12.75" customHeight="1">
      <c r="A126" s="395"/>
      <c r="B126" s="406"/>
      <c r="C126" s="397"/>
      <c r="D126" s="398"/>
      <c r="E126" s="409"/>
      <c r="F126" s="394"/>
      <c r="G126" s="444"/>
      <c r="H126" s="396"/>
      <c r="I126" s="15"/>
    </row>
    <row r="127" spans="1:9" ht="12.75" customHeight="1">
      <c r="A127" s="395"/>
      <c r="B127" s="406"/>
      <c r="C127" s="407"/>
      <c r="D127" s="408"/>
      <c r="E127" s="409"/>
      <c r="F127" s="394"/>
      <c r="G127" s="444"/>
      <c r="H127" s="396"/>
      <c r="I127" s="15"/>
    </row>
    <row r="128" spans="1:9" ht="12.75" customHeight="1">
      <c r="A128" s="405"/>
      <c r="B128" s="396"/>
      <c r="C128" s="401"/>
      <c r="D128" s="402"/>
      <c r="E128" s="403"/>
      <c r="F128" s="404"/>
      <c r="G128" s="444"/>
      <c r="H128" s="396"/>
      <c r="I128" s="15"/>
    </row>
    <row r="129" spans="1:9" ht="12.75" customHeight="1">
      <c r="A129" s="405"/>
      <c r="B129" s="406"/>
      <c r="C129" s="407"/>
      <c r="D129" s="408"/>
      <c r="E129" s="409"/>
      <c r="F129" s="394"/>
      <c r="G129" s="444"/>
      <c r="H129" s="396"/>
      <c r="I129" s="15"/>
    </row>
    <row r="130" spans="1:9" ht="12.75" customHeight="1">
      <c r="A130" s="395"/>
      <c r="B130" s="406"/>
      <c r="C130" s="397"/>
      <c r="D130" s="398"/>
      <c r="E130" s="399"/>
      <c r="F130" s="400"/>
      <c r="G130" s="444"/>
      <c r="H130" s="399"/>
      <c r="I130" s="15"/>
    </row>
    <row r="131" spans="1:9" ht="12.75" customHeight="1">
      <c r="A131" s="395"/>
      <c r="B131" s="441"/>
      <c r="C131" s="399"/>
      <c r="D131" s="400"/>
      <c r="E131" s="403"/>
      <c r="F131" s="404"/>
      <c r="G131" s="414"/>
      <c r="H131" s="399"/>
      <c r="I131" s="15"/>
    </row>
    <row r="132" spans="1:9" ht="12.75" customHeight="1">
      <c r="A132" s="395"/>
      <c r="B132" s="441"/>
      <c r="C132" s="409"/>
      <c r="D132" s="394"/>
      <c r="E132" s="409"/>
      <c r="F132" s="394"/>
      <c r="G132" s="414"/>
      <c r="H132" s="399"/>
      <c r="I132" s="15"/>
    </row>
    <row r="133" spans="1:9" ht="12.75" customHeight="1">
      <c r="A133" s="405"/>
      <c r="B133" s="441"/>
      <c r="C133" s="409"/>
      <c r="D133" s="394"/>
      <c r="E133" s="451"/>
      <c r="F133" s="425"/>
      <c r="G133" s="396"/>
      <c r="H133" s="414"/>
      <c r="I133" s="15"/>
    </row>
    <row r="134" spans="1:9" ht="12.75" customHeight="1">
      <c r="A134" s="405"/>
      <c r="B134" s="441"/>
      <c r="C134" s="409"/>
      <c r="D134" s="394"/>
      <c r="E134" s="424"/>
      <c r="F134" s="425"/>
      <c r="G134" s="414"/>
      <c r="H134" s="399"/>
      <c r="I134" s="15"/>
    </row>
    <row r="135" spans="1:9" ht="12.75" customHeight="1">
      <c r="A135" s="454"/>
      <c r="B135" s="481"/>
      <c r="C135" s="482"/>
      <c r="D135" s="483"/>
      <c r="E135" s="484"/>
      <c r="F135" s="485"/>
      <c r="G135" s="445"/>
      <c r="H135" s="442"/>
      <c r="I135" s="15"/>
    </row>
    <row r="136" spans="1:9" ht="12.75" customHeight="1">
      <c r="A136" s="454"/>
      <c r="B136" s="443"/>
      <c r="C136" s="482"/>
      <c r="D136" s="483"/>
      <c r="E136" s="452"/>
      <c r="F136" s="453"/>
      <c r="G136" s="446"/>
      <c r="H136" s="447"/>
      <c r="I136" s="15"/>
    </row>
    <row r="137" spans="1:9" ht="12.75" customHeight="1">
      <c r="A137" s="395"/>
      <c r="B137" s="442"/>
      <c r="C137" s="403"/>
      <c r="D137" s="404"/>
      <c r="E137" s="486"/>
      <c r="F137" s="471"/>
      <c r="G137" s="56"/>
      <c r="H137" s="448"/>
      <c r="I137" s="15"/>
    </row>
    <row r="138" spans="1:9" ht="12.75" customHeight="1">
      <c r="A138" s="434"/>
      <c r="B138" s="455"/>
      <c r="C138" s="456"/>
      <c r="D138" s="457"/>
      <c r="E138" s="455"/>
      <c r="F138" s="487"/>
      <c r="G138" s="457"/>
      <c r="H138" s="458"/>
      <c r="I138" s="15"/>
    </row>
    <row r="139" spans="1:9" ht="12.75" customHeight="1">
      <c r="A139" s="434"/>
      <c r="B139" s="462"/>
      <c r="C139" s="492"/>
      <c r="D139" s="460"/>
      <c r="E139" s="493"/>
      <c r="F139" s="461"/>
      <c r="G139" s="449"/>
      <c r="H139" s="450"/>
      <c r="I139" s="15"/>
    </row>
    <row r="140" spans="1:9" ht="12.75" customHeight="1">
      <c r="A140" s="395"/>
      <c r="B140" s="494"/>
      <c r="C140" s="473"/>
      <c r="D140" s="495"/>
      <c r="E140" s="494"/>
      <c r="F140" s="473"/>
      <c r="G140" s="496"/>
      <c r="H140" s="497"/>
      <c r="I140" s="15"/>
    </row>
    <row r="141" spans="1:9" ht="12.75" customHeight="1">
      <c r="A141" s="395"/>
      <c r="B141" s="488"/>
      <c r="C141" s="489"/>
      <c r="D141" s="490"/>
      <c r="E141" s="419"/>
      <c r="F141" s="415"/>
      <c r="G141" s="444"/>
      <c r="H141" s="491"/>
      <c r="I141" s="15"/>
    </row>
    <row r="142" spans="1:9" ht="12.75" customHeight="1">
      <c r="A142" s="395"/>
      <c r="B142" s="406"/>
      <c r="C142" s="463"/>
      <c r="D142" s="408"/>
      <c r="E142" s="409"/>
      <c r="F142" s="424"/>
      <c r="G142" s="459"/>
      <c r="H142" s="472"/>
      <c r="I142" s="15"/>
    </row>
    <row r="143" spans="1:9" ht="12.75" customHeight="1">
      <c r="A143" s="395"/>
      <c r="B143" s="406"/>
      <c r="C143" s="463"/>
      <c r="D143" s="408"/>
      <c r="E143" s="409"/>
      <c r="F143" s="424"/>
      <c r="G143" s="459"/>
      <c r="H143" s="472"/>
      <c r="I143" s="15"/>
    </row>
    <row r="144" spans="1:9" ht="12.75" customHeight="1">
      <c r="A144" s="395"/>
      <c r="B144" s="396"/>
      <c r="C144" s="397"/>
      <c r="D144" s="398"/>
      <c r="E144" s="399"/>
      <c r="F144" s="400"/>
      <c r="G144" s="382"/>
      <c r="H144" s="380"/>
      <c r="I144" s="15"/>
    </row>
    <row r="145" spans="1:9" ht="12.75" customHeight="1">
      <c r="A145" s="395"/>
      <c r="B145" s="396"/>
      <c r="C145" s="397"/>
      <c r="D145" s="398"/>
      <c r="E145" s="399"/>
      <c r="F145" s="400"/>
      <c r="G145" s="382"/>
      <c r="H145" s="380"/>
      <c r="I145" s="15"/>
    </row>
    <row r="146" spans="1:9" ht="12.75" customHeight="1">
      <c r="A146" s="395"/>
      <c r="B146" s="396"/>
      <c r="C146" s="397"/>
      <c r="D146" s="398"/>
      <c r="E146" s="399"/>
      <c r="F146" s="400"/>
      <c r="G146" s="382"/>
      <c r="H146" s="380"/>
      <c r="I146" s="15"/>
    </row>
    <row r="147" spans="1:9" ht="12.75" customHeight="1">
      <c r="A147" s="395"/>
      <c r="B147" s="396"/>
      <c r="C147" s="397"/>
      <c r="D147" s="398"/>
      <c r="E147" s="399"/>
      <c r="F147" s="400"/>
      <c r="G147" s="382"/>
      <c r="H147" s="380"/>
      <c r="I147" s="15"/>
    </row>
    <row r="148" spans="1:9" ht="12.75" customHeight="1">
      <c r="A148" s="395"/>
      <c r="B148" s="396"/>
      <c r="C148" s="397"/>
      <c r="D148" s="398"/>
      <c r="E148" s="399"/>
      <c r="F148" s="400"/>
      <c r="G148" s="382"/>
      <c r="H148" s="380"/>
      <c r="I148" s="15"/>
    </row>
    <row r="149" spans="1:9" ht="12.75" customHeight="1">
      <c r="A149" s="395"/>
      <c r="B149" s="396"/>
      <c r="C149" s="397"/>
      <c r="D149" s="398"/>
      <c r="E149" s="399"/>
      <c r="F149" s="400"/>
      <c r="G149" s="382"/>
      <c r="H149" s="380"/>
      <c r="I149" s="15"/>
    </row>
    <row r="150" spans="1:9" ht="12.75" customHeight="1">
      <c r="A150" s="395"/>
      <c r="B150" s="396"/>
      <c r="C150" s="397"/>
      <c r="D150" s="398"/>
      <c r="E150" s="399"/>
      <c r="F150" s="400"/>
      <c r="G150" s="382"/>
      <c r="H150" s="380"/>
      <c r="I150" s="15"/>
    </row>
    <row r="151" spans="1:9" ht="12.75" customHeight="1">
      <c r="A151" s="395"/>
      <c r="B151" s="396"/>
      <c r="C151" s="397"/>
      <c r="D151" s="398"/>
      <c r="E151" s="399"/>
      <c r="F151" s="400"/>
      <c r="G151" s="382"/>
      <c r="H151" s="380"/>
      <c r="I151" s="15"/>
    </row>
    <row r="152" spans="1:9" ht="12.75" customHeight="1">
      <c r="A152" s="395"/>
      <c r="B152" s="396"/>
      <c r="C152" s="397"/>
      <c r="D152" s="398"/>
      <c r="E152" s="399"/>
      <c r="F152" s="400"/>
      <c r="G152" s="382"/>
      <c r="H152" s="380"/>
      <c r="I152" s="15"/>
    </row>
    <row r="153" spans="1:9" ht="12.75" customHeight="1">
      <c r="A153" s="395"/>
      <c r="B153" s="396"/>
      <c r="C153" s="397"/>
      <c r="D153" s="398"/>
      <c r="E153" s="399"/>
      <c r="F153" s="400"/>
      <c r="G153" s="382"/>
      <c r="H153" s="380"/>
      <c r="I153" s="15"/>
    </row>
    <row r="154" spans="1:9" ht="12.75" customHeight="1">
      <c r="A154" s="395"/>
      <c r="B154" s="396"/>
      <c r="C154" s="397"/>
      <c r="D154" s="398"/>
      <c r="E154" s="399"/>
      <c r="F154" s="400"/>
      <c r="G154" s="382"/>
      <c r="H154" s="380"/>
      <c r="I154" s="15"/>
    </row>
    <row r="155" spans="1:9" ht="12.75" customHeight="1">
      <c r="A155" s="395"/>
      <c r="B155" s="396"/>
      <c r="C155" s="397"/>
      <c r="D155" s="398"/>
      <c r="E155" s="399"/>
      <c r="F155" s="400"/>
      <c r="G155" s="382"/>
      <c r="H155" s="380"/>
      <c r="I155" s="15"/>
    </row>
    <row r="156" spans="1:9" ht="12.75" customHeight="1">
      <c r="A156" s="395"/>
      <c r="B156" s="396"/>
      <c r="C156" s="397"/>
      <c r="D156" s="398"/>
      <c r="E156" s="399"/>
      <c r="F156" s="400"/>
      <c r="G156" s="382"/>
      <c r="H156" s="380"/>
      <c r="I156" s="15"/>
    </row>
    <row r="157" spans="1:9" ht="12.75" customHeight="1">
      <c r="A157" s="395"/>
      <c r="B157" s="396"/>
      <c r="C157" s="397"/>
      <c r="D157" s="398"/>
      <c r="E157" s="399"/>
      <c r="F157" s="400"/>
      <c r="G157" s="382"/>
      <c r="H157" s="380"/>
      <c r="I157" s="15"/>
    </row>
    <row r="158" spans="1:9" ht="12.75" customHeight="1">
      <c r="A158" s="395"/>
      <c r="B158" s="396"/>
      <c r="C158" s="397"/>
      <c r="D158" s="398"/>
      <c r="E158" s="399"/>
      <c r="F158" s="400"/>
      <c r="G158" s="382"/>
      <c r="H158" s="380"/>
      <c r="I158" s="15"/>
    </row>
    <row r="159" spans="1:9" ht="12.75" customHeight="1">
      <c r="A159" s="395"/>
      <c r="B159" s="396"/>
      <c r="C159" s="397"/>
      <c r="D159" s="398"/>
      <c r="E159" s="399"/>
      <c r="F159" s="400"/>
      <c r="G159" s="382"/>
      <c r="H159" s="380"/>
      <c r="I159" s="15"/>
    </row>
    <row r="160" spans="1:9" ht="12.75" customHeight="1">
      <c r="A160" s="395"/>
      <c r="B160" s="396"/>
      <c r="C160" s="397"/>
      <c r="D160" s="398"/>
      <c r="E160" s="399"/>
      <c r="F160" s="400"/>
      <c r="G160" s="382"/>
      <c r="H160" s="380"/>
      <c r="I160" s="15"/>
    </row>
    <row r="161" spans="1:9" ht="12.75" customHeight="1">
      <c r="A161" s="395"/>
      <c r="B161" s="396"/>
      <c r="C161" s="397"/>
      <c r="D161" s="398"/>
      <c r="E161" s="399"/>
      <c r="F161" s="400"/>
      <c r="G161" s="382"/>
      <c r="H161" s="380"/>
      <c r="I161" s="15"/>
    </row>
    <row r="162" spans="1:9" ht="12.75" customHeight="1">
      <c r="A162" s="395"/>
      <c r="B162" s="396"/>
      <c r="C162" s="397"/>
      <c r="D162" s="398"/>
      <c r="E162" s="399"/>
      <c r="F162" s="400"/>
      <c r="G162" s="382"/>
      <c r="H162" s="380"/>
      <c r="I162" s="15"/>
    </row>
    <row r="163" spans="1:9" ht="12.75" customHeight="1">
      <c r="A163" s="395"/>
      <c r="B163" s="396"/>
      <c r="C163" s="397"/>
      <c r="D163" s="398"/>
      <c r="E163" s="399"/>
      <c r="F163" s="400"/>
      <c r="G163" s="382"/>
      <c r="H163" s="380"/>
      <c r="I163" s="15"/>
    </row>
    <row r="164" spans="1:9" ht="12.75" customHeight="1">
      <c r="A164" s="395"/>
      <c r="B164" s="396"/>
      <c r="C164" s="397"/>
      <c r="D164" s="398"/>
      <c r="E164" s="399"/>
      <c r="F164" s="400"/>
      <c r="G164" s="382"/>
      <c r="H164" s="380"/>
      <c r="I164" s="15"/>
    </row>
    <row r="165" spans="1:9" ht="12.75" customHeight="1">
      <c r="A165" s="395"/>
      <c r="B165" s="396"/>
      <c r="C165" s="397"/>
      <c r="D165" s="398"/>
      <c r="E165" s="399"/>
      <c r="F165" s="400"/>
      <c r="G165" s="382"/>
      <c r="H165" s="380"/>
      <c r="I165" s="15"/>
    </row>
    <row r="166" spans="1:9" ht="12.75" customHeight="1">
      <c r="A166" s="395"/>
      <c r="B166" s="396"/>
      <c r="C166" s="397"/>
      <c r="D166" s="398"/>
      <c r="E166" s="399"/>
      <c r="F166" s="400"/>
      <c r="G166" s="382"/>
      <c r="H166" s="380"/>
      <c r="I166" s="15"/>
    </row>
    <row r="167" spans="1:9" ht="12.75" customHeight="1">
      <c r="A167" s="395"/>
      <c r="B167" s="396"/>
      <c r="C167" s="397"/>
      <c r="D167" s="398"/>
      <c r="E167" s="399"/>
      <c r="F167" s="400"/>
      <c r="G167" s="382"/>
      <c r="H167" s="380"/>
      <c r="I167" s="15"/>
    </row>
    <row r="168" spans="1:9" ht="12.75" customHeight="1">
      <c r="A168" s="395"/>
      <c r="B168" s="396"/>
      <c r="C168" s="397"/>
      <c r="D168" s="398"/>
      <c r="E168" s="399"/>
      <c r="F168" s="400"/>
      <c r="G168" s="382"/>
      <c r="H168" s="380"/>
      <c r="I168" s="15"/>
    </row>
    <row r="169" spans="1:9" ht="12.75" customHeight="1">
      <c r="A169" s="395"/>
      <c r="B169" s="396"/>
      <c r="C169" s="397"/>
      <c r="D169" s="398"/>
      <c r="E169" s="399"/>
      <c r="F169" s="400"/>
      <c r="G169" s="382"/>
      <c r="H169" s="380"/>
      <c r="I169" s="15"/>
    </row>
    <row r="170" spans="1:9" ht="12.75" customHeight="1">
      <c r="A170" s="395"/>
      <c r="B170" s="396"/>
      <c r="C170" s="397"/>
      <c r="D170" s="398"/>
      <c r="E170" s="399"/>
      <c r="F170" s="400"/>
      <c r="G170" s="382"/>
      <c r="H170" s="380"/>
      <c r="I170" s="15"/>
    </row>
    <row r="171" spans="1:9" ht="12.75" customHeight="1">
      <c r="A171" s="395"/>
      <c r="B171" s="396"/>
      <c r="C171" s="397"/>
      <c r="D171" s="398"/>
      <c r="E171" s="399"/>
      <c r="F171" s="400"/>
      <c r="G171" s="382"/>
      <c r="H171" s="380"/>
      <c r="I171" s="15"/>
    </row>
    <row r="172" spans="1:9" ht="12.75" customHeight="1">
      <c r="A172" s="395"/>
      <c r="B172" s="396"/>
      <c r="C172" s="397"/>
      <c r="D172" s="398"/>
      <c r="E172" s="399"/>
      <c r="F172" s="400"/>
      <c r="G172" s="382"/>
      <c r="H172" s="380"/>
      <c r="I172" s="15"/>
    </row>
    <row r="173" spans="1:9" ht="12.75" customHeight="1">
      <c r="A173" s="395"/>
      <c r="B173" s="396"/>
      <c r="C173" s="397"/>
      <c r="D173" s="398"/>
      <c r="E173" s="399"/>
      <c r="F173" s="400"/>
      <c r="G173" s="382"/>
      <c r="H173" s="380"/>
      <c r="I173" s="15"/>
    </row>
    <row r="174" spans="1:9" ht="12.75" customHeight="1">
      <c r="A174" s="395"/>
      <c r="B174" s="396"/>
      <c r="C174" s="397"/>
      <c r="D174" s="398"/>
      <c r="E174" s="399"/>
      <c r="F174" s="400"/>
      <c r="G174" s="382"/>
      <c r="H174" s="380"/>
      <c r="I174" s="15"/>
    </row>
    <row r="175" spans="1:9" ht="12.75" customHeight="1">
      <c r="A175" s="395"/>
      <c r="B175" s="396"/>
      <c r="C175" s="397"/>
      <c r="D175" s="398"/>
      <c r="E175" s="399"/>
      <c r="F175" s="400"/>
      <c r="G175" s="382"/>
      <c r="H175" s="380"/>
      <c r="I175" s="15"/>
    </row>
    <row r="176" spans="1:9" ht="12.75" customHeight="1">
      <c r="A176" s="395"/>
      <c r="B176" s="396"/>
      <c r="C176" s="397"/>
      <c r="D176" s="398"/>
      <c r="E176" s="399"/>
      <c r="F176" s="400"/>
      <c r="G176" s="382"/>
      <c r="H176" s="380"/>
      <c r="I176" s="15"/>
    </row>
    <row r="177" spans="1:9" ht="12.75" customHeight="1">
      <c r="A177" s="395"/>
      <c r="B177" s="396"/>
      <c r="C177" s="397"/>
      <c r="D177" s="398"/>
      <c r="E177" s="399"/>
      <c r="F177" s="400"/>
      <c r="G177" s="382"/>
      <c r="H177" s="380"/>
      <c r="I177" s="15"/>
    </row>
    <row r="178" spans="1:9" ht="12.75" customHeight="1">
      <c r="A178" s="395"/>
      <c r="B178" s="396"/>
      <c r="C178" s="397"/>
      <c r="D178" s="398"/>
      <c r="E178" s="399"/>
      <c r="F178" s="400"/>
      <c r="G178" s="382"/>
      <c r="H178" s="380"/>
      <c r="I178" s="15"/>
    </row>
    <row r="179" spans="1:9" ht="12.75" customHeight="1">
      <c r="A179" s="395"/>
      <c r="B179" s="396"/>
      <c r="C179" s="397"/>
      <c r="D179" s="398"/>
      <c r="E179" s="399"/>
      <c r="F179" s="400"/>
      <c r="G179" s="382"/>
      <c r="H179" s="380"/>
      <c r="I179" s="15"/>
    </row>
    <row r="180" spans="1:9" ht="12.75" customHeight="1">
      <c r="A180" s="395"/>
      <c r="B180" s="396"/>
      <c r="C180" s="401"/>
      <c r="D180" s="402"/>
      <c r="E180" s="403"/>
      <c r="F180" s="404"/>
      <c r="G180" s="382"/>
      <c r="H180" s="380"/>
      <c r="I180" s="15"/>
    </row>
    <row r="181" spans="1:9" ht="12.75" customHeight="1">
      <c r="A181" s="395"/>
      <c r="B181" s="396"/>
      <c r="C181" s="401"/>
      <c r="D181" s="402"/>
      <c r="E181" s="401"/>
      <c r="F181" s="404"/>
      <c r="G181" s="382"/>
      <c r="H181" s="380"/>
      <c r="I181" s="15"/>
    </row>
    <row r="182" spans="1:9" ht="12.75" customHeight="1">
      <c r="A182" s="405"/>
      <c r="B182" s="406"/>
      <c r="C182" s="407"/>
      <c r="D182" s="408"/>
      <c r="E182" s="409"/>
      <c r="F182" s="394"/>
      <c r="G182" s="382"/>
      <c r="H182" s="380"/>
      <c r="I182" s="15"/>
    </row>
    <row r="183" spans="1:9" ht="12.75" customHeight="1">
      <c r="A183" s="395"/>
      <c r="B183" s="396"/>
      <c r="C183" s="397"/>
      <c r="D183" s="398"/>
      <c r="E183" s="399"/>
      <c r="F183" s="400"/>
      <c r="G183" s="382"/>
      <c r="H183" s="380"/>
      <c r="I183" s="15"/>
    </row>
    <row r="184" spans="1:9" ht="12.75" customHeight="1">
      <c r="A184" s="395"/>
      <c r="B184" s="396"/>
      <c r="C184" s="397"/>
      <c r="D184" s="398"/>
      <c r="E184" s="399"/>
      <c r="F184" s="400"/>
      <c r="G184" s="382"/>
      <c r="H184" s="380"/>
      <c r="I184" s="15"/>
    </row>
    <row r="185" spans="1:9" ht="12.75" customHeight="1">
      <c r="A185" s="395"/>
      <c r="B185" s="396"/>
      <c r="C185" s="397"/>
      <c r="D185" s="398"/>
      <c r="E185" s="403"/>
      <c r="F185" s="404"/>
      <c r="G185" s="382"/>
      <c r="H185" s="380"/>
      <c r="I185" s="15"/>
    </row>
    <row r="186" spans="1:9" ht="12.75" customHeight="1">
      <c r="A186" s="395"/>
      <c r="B186" s="396"/>
      <c r="C186" s="401"/>
      <c r="D186" s="402"/>
      <c r="E186" s="403"/>
      <c r="F186" s="404"/>
      <c r="G186" s="382"/>
      <c r="H186" s="380"/>
      <c r="I186" s="15"/>
    </row>
    <row r="187" spans="1:9" ht="12.75" customHeight="1">
      <c r="A187" s="395"/>
      <c r="B187" s="396"/>
      <c r="C187" s="401"/>
      <c r="D187" s="402"/>
      <c r="E187" s="403"/>
      <c r="F187" s="404"/>
      <c r="G187" s="382"/>
      <c r="H187" s="380"/>
      <c r="I187" s="15"/>
    </row>
    <row r="188" spans="1:9" ht="12.75" customHeight="1">
      <c r="A188" s="395"/>
      <c r="B188" s="396"/>
      <c r="C188" s="407"/>
      <c r="D188" s="408"/>
      <c r="E188" s="409"/>
      <c r="F188" s="394"/>
      <c r="G188" s="382"/>
      <c r="H188" s="380"/>
      <c r="I188" s="15"/>
    </row>
    <row r="189" spans="1:9" ht="12.75" customHeight="1">
      <c r="A189" s="395"/>
      <c r="B189" s="396"/>
      <c r="C189" s="397"/>
      <c r="D189" s="398"/>
      <c r="E189" s="399"/>
      <c r="F189" s="400"/>
      <c r="G189" s="382"/>
      <c r="H189" s="380"/>
      <c r="I189" s="15"/>
    </row>
    <row r="190" spans="1:9" ht="12.75" customHeight="1">
      <c r="A190" s="395"/>
      <c r="B190" s="396"/>
      <c r="C190" s="397"/>
      <c r="D190" s="398"/>
      <c r="E190" s="403"/>
      <c r="F190" s="404"/>
      <c r="G190" s="382"/>
      <c r="H190" s="380"/>
      <c r="I190" s="15"/>
    </row>
    <row r="191" spans="1:9" ht="12.75" customHeight="1">
      <c r="A191" s="395"/>
      <c r="B191" s="396"/>
      <c r="C191" s="401"/>
      <c r="D191" s="402"/>
      <c r="E191" s="403"/>
      <c r="F191" s="404"/>
      <c r="G191" s="382"/>
      <c r="H191" s="380"/>
      <c r="I191" s="15"/>
    </row>
    <row r="192" spans="1:9" ht="12.75" customHeight="1">
      <c r="A192" s="395"/>
      <c r="B192" s="396"/>
      <c r="C192" s="401"/>
      <c r="D192" s="402"/>
      <c r="E192" s="410"/>
      <c r="F192" s="411"/>
      <c r="G192" s="382"/>
      <c r="H192" s="380"/>
      <c r="I192" s="15"/>
    </row>
    <row r="193" spans="1:9" ht="12.75" customHeight="1">
      <c r="A193" s="405"/>
      <c r="B193" s="406"/>
      <c r="C193" s="407"/>
      <c r="D193" s="408"/>
      <c r="E193" s="409"/>
      <c r="F193" s="394"/>
      <c r="G193" s="412"/>
      <c r="H193" s="413"/>
      <c r="I193" s="15"/>
    </row>
    <row r="194" spans="1:9" ht="12.75" customHeight="1">
      <c r="A194" s="395"/>
      <c r="B194" s="414"/>
      <c r="C194" s="399"/>
      <c r="D194" s="400"/>
      <c r="E194" s="415"/>
      <c r="F194" s="416"/>
      <c r="G194" s="417"/>
      <c r="H194" s="413"/>
      <c r="I194" s="15"/>
    </row>
    <row r="195" spans="1:9" ht="12.75" customHeight="1">
      <c r="A195" s="395"/>
      <c r="B195" s="414"/>
      <c r="C195" s="399"/>
      <c r="D195" s="400"/>
      <c r="E195" s="410"/>
      <c r="F195" s="411"/>
      <c r="G195" s="417"/>
      <c r="H195" s="413"/>
      <c r="I195" s="15"/>
    </row>
    <row r="196" spans="1:9" ht="12.75" customHeight="1">
      <c r="A196" s="395"/>
      <c r="B196" s="414"/>
      <c r="C196" s="403"/>
      <c r="D196" s="404"/>
      <c r="E196" s="418"/>
      <c r="F196" s="404"/>
      <c r="G196" s="41"/>
      <c r="H196" s="414"/>
      <c r="I196" s="15"/>
    </row>
    <row r="197" spans="1:9" ht="12.75" customHeight="1">
      <c r="A197" s="395"/>
      <c r="B197" s="414"/>
      <c r="C197" s="403"/>
      <c r="D197" s="404"/>
      <c r="E197" s="410"/>
      <c r="F197" s="404"/>
      <c r="G197" s="417"/>
      <c r="H197" s="413"/>
      <c r="I197" s="15"/>
    </row>
    <row r="198" spans="1:9" ht="12.75" customHeight="1">
      <c r="A198" s="395"/>
      <c r="B198" s="419"/>
      <c r="C198" s="410"/>
      <c r="D198" s="416"/>
      <c r="E198" s="420"/>
      <c r="F198" s="415"/>
      <c r="G198" s="421"/>
      <c r="H198" s="422"/>
      <c r="I198" s="15"/>
    </row>
    <row r="199" spans="1:9" ht="12.75" customHeight="1">
      <c r="A199" s="405"/>
      <c r="B199" s="423"/>
      <c r="C199" s="424"/>
      <c r="D199" s="425"/>
      <c r="E199" s="423"/>
      <c r="F199" s="424"/>
      <c r="G199" s="426"/>
      <c r="H199" s="427"/>
      <c r="I199" s="15"/>
    </row>
    <row r="200" spans="1:9" ht="12.75" customHeight="1">
      <c r="A200" s="389"/>
      <c r="B200" s="428"/>
      <c r="C200" s="429"/>
      <c r="D200" s="416"/>
      <c r="E200" s="430"/>
      <c r="F200" s="431"/>
      <c r="G200" s="432"/>
      <c r="H200" s="433"/>
      <c r="I200" s="434"/>
    </row>
    <row r="201" spans="1:9" ht="12.75" customHeight="1">
      <c r="A201" s="435"/>
      <c r="B201" s="436"/>
      <c r="C201" s="437"/>
      <c r="D201" s="438"/>
      <c r="E201" s="437"/>
      <c r="F201" s="438"/>
      <c r="G201" s="438"/>
      <c r="H201" s="439"/>
      <c r="I201" s="440"/>
    </row>
    <row r="202" spans="1:9" ht="12.75" customHeight="1">
      <c r="A202" s="435"/>
      <c r="B202" s="436"/>
      <c r="C202" s="437"/>
      <c r="D202" s="438"/>
      <c r="E202" s="437"/>
      <c r="F202" s="438"/>
      <c r="G202" s="438"/>
      <c r="H202" s="439"/>
      <c r="I202" s="440"/>
    </row>
    <row r="203" ht="12.75" customHeight="1">
      <c r="I203" s="377"/>
    </row>
    <row r="204" ht="12.75" customHeight="1">
      <c r="I204" s="377"/>
    </row>
  </sheetData>
  <sheetProtection/>
  <mergeCells count="1">
    <mergeCell ref="C7:D7"/>
  </mergeCells>
  <printOptions/>
  <pageMargins left="0.67" right="0.2" top="0.25" bottom="0.25" header="0.34" footer="0.3"/>
  <pageSetup horizontalDpi="600" verticalDpi="600" orientation="portrait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26">
      <selection activeCell="E40" sqref="E40"/>
    </sheetView>
  </sheetViews>
  <sheetFormatPr defaultColWidth="9.140625" defaultRowHeight="18" customHeight="1"/>
  <cols>
    <col min="1" max="1" width="20.140625" style="365" customWidth="1"/>
    <col min="2" max="2" width="9.140625" style="365" customWidth="1"/>
    <col min="3" max="3" width="11.28125" style="365" customWidth="1"/>
    <col min="4" max="4" width="12.28125" style="365" customWidth="1"/>
    <col min="5" max="5" width="15.8515625" style="365" customWidth="1"/>
    <col min="6" max="6" width="13.7109375" style="365" customWidth="1"/>
    <col min="7" max="16384" width="9.140625" style="365" customWidth="1"/>
  </cols>
  <sheetData>
    <row r="1" spans="1:8" ht="15.75" customHeight="1">
      <c r="A1" s="329" t="s">
        <v>1350</v>
      </c>
      <c r="B1" s="8"/>
      <c r="C1" s="8"/>
      <c r="D1" s="8"/>
      <c r="E1" s="8"/>
      <c r="F1" s="8"/>
      <c r="G1" s="2"/>
      <c r="H1" s="2"/>
    </row>
    <row r="2" spans="1:8" ht="15.75" customHeight="1">
      <c r="A2" s="329" t="s">
        <v>1351</v>
      </c>
      <c r="B2" s="8"/>
      <c r="C2" s="8"/>
      <c r="D2" s="8"/>
      <c r="E2" s="8"/>
      <c r="F2" s="8"/>
      <c r="G2" s="2"/>
      <c r="H2" s="2"/>
    </row>
    <row r="3" spans="1:8" ht="15.75" customHeight="1">
      <c r="A3" s="59"/>
      <c r="B3" s="8"/>
      <c r="C3" s="8"/>
      <c r="D3" s="8"/>
      <c r="E3" s="8"/>
      <c r="F3" s="8"/>
      <c r="G3" s="2"/>
      <c r="H3" s="2"/>
    </row>
    <row r="4" spans="1:8" ht="15.75" customHeight="1">
      <c r="A4" s="858" t="s">
        <v>5</v>
      </c>
      <c r="B4" s="858"/>
      <c r="C4" s="8"/>
      <c r="D4" s="8"/>
      <c r="E4" s="8"/>
      <c r="F4" s="8"/>
      <c r="G4" s="2"/>
      <c r="H4" s="2"/>
    </row>
    <row r="5" spans="1:8" ht="15.75" customHeight="1">
      <c r="A5" s="858" t="s">
        <v>6</v>
      </c>
      <c r="B5" s="858"/>
      <c r="C5" s="858"/>
      <c r="D5" s="60"/>
      <c r="E5" s="8"/>
      <c r="F5" s="8"/>
      <c r="G5" s="2"/>
      <c r="H5" s="2"/>
    </row>
    <row r="6" spans="1:8" ht="15.75" customHeight="1">
      <c r="A6" s="858" t="s">
        <v>7</v>
      </c>
      <c r="B6" s="858"/>
      <c r="C6" s="858"/>
      <c r="D6" s="58"/>
      <c r="E6" s="58"/>
      <c r="F6" s="8"/>
      <c r="G6" s="2"/>
      <c r="H6" s="2"/>
    </row>
    <row r="7" spans="1:8" ht="15.75" customHeight="1">
      <c r="A7" s="58" t="s">
        <v>276</v>
      </c>
      <c r="B7" s="8"/>
      <c r="C7" s="8"/>
      <c r="D7" s="8"/>
      <c r="E7" s="8"/>
      <c r="F7" s="8"/>
      <c r="G7" s="2"/>
      <c r="H7" s="2"/>
    </row>
    <row r="8" spans="1:8" ht="15.75" customHeight="1">
      <c r="A8" s="9"/>
      <c r="B8" s="61" t="s">
        <v>1383</v>
      </c>
      <c r="D8" s="9"/>
      <c r="E8" s="9"/>
      <c r="F8" s="9"/>
      <c r="G8" s="2"/>
      <c r="H8" s="2"/>
    </row>
    <row r="9" spans="1:8" ht="15.75" customHeight="1">
      <c r="A9" s="8" t="s">
        <v>8</v>
      </c>
      <c r="B9" s="8"/>
      <c r="C9" s="8"/>
      <c r="D9" s="8"/>
      <c r="E9" s="8"/>
      <c r="F9" s="8"/>
      <c r="G9" s="2"/>
      <c r="H9" s="2"/>
    </row>
    <row r="10" spans="1:8" ht="15.75" customHeight="1">
      <c r="A10" s="9" t="s">
        <v>9</v>
      </c>
      <c r="B10" s="9"/>
      <c r="C10" s="9"/>
      <c r="D10" s="9"/>
      <c r="E10" s="9"/>
      <c r="F10" s="9"/>
      <c r="G10" s="2"/>
      <c r="H10" s="2"/>
    </row>
    <row r="11" spans="1:8" ht="15.75" customHeight="1">
      <c r="A11" s="9"/>
      <c r="B11" s="9"/>
      <c r="C11" s="9"/>
      <c r="D11" s="9"/>
      <c r="E11" s="9"/>
      <c r="F11" s="9"/>
      <c r="G11" s="2"/>
      <c r="H11" s="2"/>
    </row>
    <row r="12" spans="1:8" ht="15.75" customHeight="1">
      <c r="A12" s="61" t="s">
        <v>36</v>
      </c>
      <c r="B12" s="190"/>
      <c r="C12" s="190" t="s">
        <v>10</v>
      </c>
      <c r="D12" s="190" t="s">
        <v>0</v>
      </c>
      <c r="E12" s="190" t="s">
        <v>34</v>
      </c>
      <c r="F12" s="190" t="s">
        <v>1</v>
      </c>
      <c r="G12" s="2"/>
      <c r="H12" s="2"/>
    </row>
    <row r="13" spans="1:8" ht="15.75" customHeight="1">
      <c r="A13" s="8" t="s">
        <v>11</v>
      </c>
      <c r="B13" s="10" t="s">
        <v>12</v>
      </c>
      <c r="C13" s="186">
        <v>3825</v>
      </c>
      <c r="D13" s="62">
        <v>190786</v>
      </c>
      <c r="E13" s="63">
        <v>26201111.5</v>
      </c>
      <c r="F13" s="316">
        <f>E13/D13</f>
        <v>137.3324641221054</v>
      </c>
      <c r="G13" s="2"/>
      <c r="H13" s="2"/>
    </row>
    <row r="14" spans="1:8" ht="15.75" customHeight="1">
      <c r="A14" s="8" t="s">
        <v>13</v>
      </c>
      <c r="B14" s="10" t="s">
        <v>12</v>
      </c>
      <c r="C14" s="65">
        <v>801</v>
      </c>
      <c r="D14" s="66">
        <v>39978.5</v>
      </c>
      <c r="E14" s="67">
        <v>6488822.6</v>
      </c>
      <c r="F14" s="316">
        <f>E14/D14</f>
        <v>162.3078054454269</v>
      </c>
      <c r="G14" s="2"/>
      <c r="H14" s="2"/>
    </row>
    <row r="15" spans="1:8" ht="15.75" customHeight="1">
      <c r="A15" s="8" t="s">
        <v>14</v>
      </c>
      <c r="B15" s="10"/>
      <c r="C15" s="187">
        <f>C13+C14</f>
        <v>4626</v>
      </c>
      <c r="D15" s="68">
        <f>D13+D14</f>
        <v>230764.5</v>
      </c>
      <c r="E15" s="188">
        <f>E13+E14</f>
        <v>32689934.1</v>
      </c>
      <c r="F15" s="317">
        <f>E15/D15</f>
        <v>141.65928511534486</v>
      </c>
      <c r="G15" s="2"/>
      <c r="H15" s="2"/>
    </row>
    <row r="16" spans="1:8" ht="15.75" customHeight="1">
      <c r="A16" s="8"/>
      <c r="B16" s="10"/>
      <c r="C16" s="198"/>
      <c r="D16" s="71"/>
      <c r="E16" s="72"/>
      <c r="F16" s="318"/>
      <c r="G16" s="2"/>
      <c r="H16" s="2"/>
    </row>
    <row r="17" spans="1:8" ht="15.75" customHeight="1">
      <c r="A17" s="61" t="s">
        <v>15</v>
      </c>
      <c r="B17" s="190"/>
      <c r="C17" s="190" t="s">
        <v>10</v>
      </c>
      <c r="D17" s="191" t="s">
        <v>0</v>
      </c>
      <c r="E17" s="190" t="s">
        <v>34</v>
      </c>
      <c r="F17" s="319" t="s">
        <v>1</v>
      </c>
      <c r="G17" s="2"/>
      <c r="H17" s="2"/>
    </row>
    <row r="18" spans="1:8" ht="15.75" customHeight="1">
      <c r="A18" s="8" t="s">
        <v>11</v>
      </c>
      <c r="B18" s="10" t="s">
        <v>16</v>
      </c>
      <c r="C18" s="65">
        <v>1</v>
      </c>
      <c r="D18" s="66">
        <v>17</v>
      </c>
      <c r="E18" s="67">
        <v>17000</v>
      </c>
      <c r="F18" s="320">
        <f>E18/D18</f>
        <v>1000</v>
      </c>
      <c r="G18" s="2"/>
      <c r="H18" s="2"/>
    </row>
    <row r="19" spans="1:8" ht="15.75" customHeight="1">
      <c r="A19" s="8" t="s">
        <v>14</v>
      </c>
      <c r="B19" s="10"/>
      <c r="C19" s="551">
        <f>SUM(C18)</f>
        <v>1</v>
      </c>
      <c r="D19" s="66">
        <f>SUM(D18)</f>
        <v>17</v>
      </c>
      <c r="E19" s="75">
        <f>SUM(E18)</f>
        <v>17000</v>
      </c>
      <c r="F19" s="320">
        <f>E19/D19</f>
        <v>1000</v>
      </c>
      <c r="G19" s="2"/>
      <c r="H19" s="2"/>
    </row>
    <row r="20" spans="1:8" ht="15.75" customHeight="1">
      <c r="A20" s="8" t="s">
        <v>32</v>
      </c>
      <c r="B20" s="10"/>
      <c r="C20" s="77">
        <f>C19+C15</f>
        <v>4627</v>
      </c>
      <c r="D20" s="68">
        <f>D19+D15</f>
        <v>230781.5</v>
      </c>
      <c r="E20" s="78">
        <f>E19+E15</f>
        <v>32706934.1</v>
      </c>
      <c r="F20" s="317">
        <f>E20/D20</f>
        <v>141.72251285306666</v>
      </c>
      <c r="G20" s="2"/>
      <c r="H20" s="2"/>
    </row>
    <row r="21" spans="1:8" ht="15.75" customHeight="1">
      <c r="A21" s="8"/>
      <c r="B21" s="10"/>
      <c r="C21" s="79"/>
      <c r="D21" s="71"/>
      <c r="E21" s="72"/>
      <c r="F21" s="318"/>
      <c r="G21" s="2"/>
      <c r="H21" s="2"/>
    </row>
    <row r="22" spans="1:8" ht="15.75" customHeight="1">
      <c r="A22" s="61" t="s">
        <v>37</v>
      </c>
      <c r="B22" s="190"/>
      <c r="C22" s="190" t="s">
        <v>10</v>
      </c>
      <c r="D22" s="191" t="s">
        <v>0</v>
      </c>
      <c r="E22" s="190" t="s">
        <v>34</v>
      </c>
      <c r="F22" s="319" t="s">
        <v>1</v>
      </c>
      <c r="G22" s="2"/>
      <c r="H22" s="2"/>
    </row>
    <row r="23" spans="1:8" ht="15.75" customHeight="1">
      <c r="A23" s="8" t="s">
        <v>11</v>
      </c>
      <c r="B23" s="10" t="s">
        <v>12</v>
      </c>
      <c r="C23" s="83">
        <v>0</v>
      </c>
      <c r="D23" s="62">
        <v>0</v>
      </c>
      <c r="E23" s="63">
        <v>0</v>
      </c>
      <c r="F23" s="316" t="e">
        <f>E23/D23</f>
        <v>#DIV/0!</v>
      </c>
      <c r="G23" s="2"/>
      <c r="H23" s="2"/>
    </row>
    <row r="24" spans="1:8" ht="15.75" customHeight="1">
      <c r="A24" s="8" t="s">
        <v>13</v>
      </c>
      <c r="B24" s="10" t="s">
        <v>12</v>
      </c>
      <c r="C24" s="84"/>
      <c r="D24" s="66"/>
      <c r="E24" s="67"/>
      <c r="F24" s="320" t="e">
        <f>E24/D24</f>
        <v>#DIV/0!</v>
      </c>
      <c r="G24" s="2"/>
      <c r="H24" s="2"/>
    </row>
    <row r="25" spans="1:8" ht="15.75" customHeight="1">
      <c r="A25" s="8" t="s">
        <v>14</v>
      </c>
      <c r="B25" s="10"/>
      <c r="C25" s="74">
        <f>C23+C24</f>
        <v>0</v>
      </c>
      <c r="D25" s="66">
        <f>D23+D24</f>
        <v>0</v>
      </c>
      <c r="E25" s="67">
        <f>E23+E24</f>
        <v>0</v>
      </c>
      <c r="F25" s="320" t="e">
        <f>E25/D25</f>
        <v>#DIV/0!</v>
      </c>
      <c r="G25" s="2"/>
      <c r="H25" s="2"/>
    </row>
    <row r="26" spans="1:8" ht="15.75" customHeight="1">
      <c r="A26" s="8"/>
      <c r="B26" s="10"/>
      <c r="C26" s="79"/>
      <c r="D26" s="71"/>
      <c r="E26" s="72"/>
      <c r="F26" s="318"/>
      <c r="G26" s="2"/>
      <c r="H26" s="2"/>
    </row>
    <row r="27" spans="1:8" ht="15.75" customHeight="1">
      <c r="A27" s="58" t="s">
        <v>38</v>
      </c>
      <c r="B27" s="80"/>
      <c r="C27" s="80" t="s">
        <v>10</v>
      </c>
      <c r="D27" s="81" t="s">
        <v>0</v>
      </c>
      <c r="E27" s="80" t="s">
        <v>34</v>
      </c>
      <c r="F27" s="321" t="s">
        <v>1</v>
      </c>
      <c r="G27" s="2"/>
      <c r="H27" s="2"/>
    </row>
    <row r="28" spans="1:8" ht="15.75" customHeight="1">
      <c r="A28" s="8" t="s">
        <v>11</v>
      </c>
      <c r="B28" s="10" t="s">
        <v>12</v>
      </c>
      <c r="C28" s="70"/>
      <c r="D28" s="71"/>
      <c r="E28" s="72"/>
      <c r="F28" s="318" t="e">
        <f>E28/D28</f>
        <v>#DIV/0!</v>
      </c>
      <c r="G28" s="2"/>
      <c r="H28" s="2"/>
    </row>
    <row r="29" spans="1:8" ht="15.75" customHeight="1">
      <c r="A29" s="8" t="s">
        <v>13</v>
      </c>
      <c r="B29" s="10" t="s">
        <v>12</v>
      </c>
      <c r="C29" s="70"/>
      <c r="D29" s="71"/>
      <c r="E29" s="72"/>
      <c r="F29" s="318" t="e">
        <f>E29/D29</f>
        <v>#DIV/0!</v>
      </c>
      <c r="G29" s="2"/>
      <c r="H29" s="2"/>
    </row>
    <row r="30" spans="1:8" ht="15.75" customHeight="1">
      <c r="A30" s="8" t="s">
        <v>14</v>
      </c>
      <c r="B30" s="10"/>
      <c r="C30" s="79">
        <f>C28+C29</f>
        <v>0</v>
      </c>
      <c r="D30" s="71">
        <f>D28+D29</f>
        <v>0</v>
      </c>
      <c r="E30" s="193">
        <f>E28+E29</f>
        <v>0</v>
      </c>
      <c r="F30" s="318" t="e">
        <f>E30/D30</f>
        <v>#DIV/0!</v>
      </c>
      <c r="G30" s="2"/>
      <c r="H30" s="2"/>
    </row>
    <row r="31" spans="1:8" ht="15.75" customHeight="1">
      <c r="A31" s="8"/>
      <c r="B31" s="10"/>
      <c r="C31" s="79"/>
      <c r="D31" s="71"/>
      <c r="E31" s="193"/>
      <c r="F31" s="318"/>
      <c r="G31" s="2"/>
      <c r="H31" s="2"/>
    </row>
    <row r="32" spans="1:8" ht="15.75" customHeight="1">
      <c r="A32" s="8" t="s">
        <v>29</v>
      </c>
      <c r="B32" s="10" t="s">
        <v>16</v>
      </c>
      <c r="C32" s="70"/>
      <c r="D32" s="71"/>
      <c r="E32" s="72"/>
      <c r="F32" s="318"/>
      <c r="G32" s="2"/>
      <c r="H32" s="2"/>
    </row>
    <row r="33" spans="1:8" ht="15.75" customHeight="1">
      <c r="A33" s="8" t="s">
        <v>14</v>
      </c>
      <c r="B33" s="10"/>
      <c r="C33" s="74">
        <f>C28+C29+C32</f>
        <v>0</v>
      </c>
      <c r="D33" s="66">
        <f>D28+D29+D32</f>
        <v>0</v>
      </c>
      <c r="E33" s="75">
        <f>E28+E29+E32</f>
        <v>0</v>
      </c>
      <c r="F33" s="316" t="e">
        <f>E33/D33</f>
        <v>#DIV/0!</v>
      </c>
      <c r="G33" s="2"/>
      <c r="H33" s="2"/>
    </row>
    <row r="34" spans="1:8" ht="15.75" customHeight="1">
      <c r="A34" s="8" t="s">
        <v>17</v>
      </c>
      <c r="B34" s="10"/>
      <c r="C34" s="77">
        <f>C33+C15+C19+C25</f>
        <v>4627</v>
      </c>
      <c r="D34" s="68">
        <f>D33+D15+D19+D25</f>
        <v>230781.5</v>
      </c>
      <c r="E34" s="78">
        <f>E15+E19+E25+E30+E32</f>
        <v>32706934.1</v>
      </c>
      <c r="F34" s="317">
        <f>E34/D34</f>
        <v>141.72251285306666</v>
      </c>
      <c r="G34" s="2"/>
      <c r="H34" s="2"/>
    </row>
    <row r="35" spans="1:8" ht="15.75" customHeight="1">
      <c r="A35" s="8"/>
      <c r="B35" s="10"/>
      <c r="C35" s="79"/>
      <c r="D35" s="11"/>
      <c r="E35" s="85"/>
      <c r="F35" s="86"/>
      <c r="G35" s="2"/>
      <c r="H35" s="2"/>
    </row>
    <row r="36" spans="1:8" ht="15.75" customHeight="1">
      <c r="A36" s="58"/>
      <c r="B36" s="80"/>
      <c r="C36" s="194"/>
      <c r="D36" s="364" t="s">
        <v>1384</v>
      </c>
      <c r="E36" s="196"/>
      <c r="F36" s="197"/>
      <c r="G36" s="2"/>
      <c r="H36" s="2"/>
    </row>
    <row r="37" spans="1:8" ht="15.75" customHeight="1">
      <c r="A37" s="58" t="s">
        <v>18</v>
      </c>
      <c r="B37" s="58"/>
      <c r="C37" s="80" t="s">
        <v>10</v>
      </c>
      <c r="D37" s="80" t="s">
        <v>0</v>
      </c>
      <c r="E37" s="88" t="s">
        <v>1</v>
      </c>
      <c r="F37" s="88" t="s">
        <v>2</v>
      </c>
      <c r="G37" s="2"/>
      <c r="H37" s="2"/>
    </row>
    <row r="38" spans="1:8" ht="15.75" customHeight="1">
      <c r="A38" s="60" t="s">
        <v>19</v>
      </c>
      <c r="B38" s="8"/>
      <c r="C38" s="89">
        <v>0</v>
      </c>
      <c r="D38" s="90">
        <v>0</v>
      </c>
      <c r="E38" s="91">
        <v>0</v>
      </c>
      <c r="F38" s="92">
        <f>D38/D40</f>
        <v>0</v>
      </c>
      <c r="G38" s="2"/>
      <c r="H38" s="2"/>
    </row>
    <row r="39" spans="1:8" ht="15.75" customHeight="1">
      <c r="A39" s="60" t="s">
        <v>30</v>
      </c>
      <c r="B39" s="8"/>
      <c r="C39" s="87">
        <v>4627</v>
      </c>
      <c r="D39" s="93">
        <v>230781.5</v>
      </c>
      <c r="E39" s="94">
        <v>141.72</v>
      </c>
      <c r="F39" s="95">
        <f>D39/D40</f>
        <v>1</v>
      </c>
      <c r="G39" s="2"/>
      <c r="H39" s="2"/>
    </row>
    <row r="40" spans="1:8" ht="18.75" customHeight="1">
      <c r="A40" s="96" t="s">
        <v>20</v>
      </c>
      <c r="B40" s="97"/>
      <c r="C40" s="98">
        <f>SUM(C38:C39)</f>
        <v>4627</v>
      </c>
      <c r="D40" s="99">
        <f>SUM(D38:D39)</f>
        <v>230781.5</v>
      </c>
      <c r="E40" s="189">
        <f>E39</f>
        <v>141.72</v>
      </c>
      <c r="F40" s="100">
        <f>SUM(F38:F39)</f>
        <v>1</v>
      </c>
      <c r="G40" s="2"/>
      <c r="H40" s="2"/>
    </row>
    <row r="41" spans="1:8" ht="15.75" customHeight="1">
      <c r="A41" s="58"/>
      <c r="B41" s="8"/>
      <c r="C41" s="87"/>
      <c r="D41" s="93"/>
      <c r="E41" s="101"/>
      <c r="F41" s="95"/>
      <c r="G41" s="2"/>
      <c r="H41" s="2"/>
    </row>
    <row r="42" spans="1:8" ht="15.75" customHeight="1">
      <c r="A42" s="8" t="s">
        <v>21</v>
      </c>
      <c r="B42" s="8"/>
      <c r="C42" s="8"/>
      <c r="D42" s="8"/>
      <c r="E42" s="8"/>
      <c r="F42" s="102"/>
      <c r="G42" s="2"/>
      <c r="H42" s="2"/>
    </row>
    <row r="43" spans="1:8" ht="15.75" customHeight="1">
      <c r="A43" s="8"/>
      <c r="B43" s="8"/>
      <c r="C43" s="8"/>
      <c r="D43" s="8"/>
      <c r="E43" s="8" t="s">
        <v>22</v>
      </c>
      <c r="F43" s="8"/>
      <c r="G43" s="2"/>
      <c r="H43" s="2"/>
    </row>
    <row r="44" spans="1:8" ht="15.75" customHeight="1">
      <c r="A44" s="8" t="s">
        <v>23</v>
      </c>
      <c r="B44" s="8"/>
      <c r="C44" s="8"/>
      <c r="D44" s="8" t="s">
        <v>24</v>
      </c>
      <c r="E44" s="8"/>
      <c r="F44" s="8"/>
      <c r="G44" s="2"/>
      <c r="H44" s="2"/>
    </row>
    <row r="45" spans="1:8" ht="15.75" customHeight="1">
      <c r="A45" s="8" t="s">
        <v>25</v>
      </c>
      <c r="B45" s="8"/>
      <c r="C45" s="8"/>
      <c r="D45" s="8"/>
      <c r="E45" s="8"/>
      <c r="F45" s="8"/>
      <c r="G45" s="2"/>
      <c r="H45" s="2"/>
    </row>
    <row r="46" spans="1:8" ht="15.75" customHeight="1">
      <c r="A46" s="8" t="s">
        <v>26</v>
      </c>
      <c r="B46" s="8"/>
      <c r="C46" s="8"/>
      <c r="D46" s="8"/>
      <c r="E46" s="8"/>
      <c r="F46" s="8"/>
      <c r="G46" s="2"/>
      <c r="H46" s="2"/>
    </row>
    <row r="47" spans="1:8" ht="15.75" customHeight="1">
      <c r="A47" s="8" t="s">
        <v>27</v>
      </c>
      <c r="B47" s="8"/>
      <c r="C47" s="8"/>
      <c r="D47" s="8"/>
      <c r="E47" s="8"/>
      <c r="F47" s="8"/>
      <c r="G47" s="2"/>
      <c r="H47" s="2"/>
    </row>
    <row r="48" spans="1:8" ht="15.75" customHeight="1">
      <c r="A48" s="8" t="s">
        <v>28</v>
      </c>
      <c r="B48" s="8"/>
      <c r="C48" s="8"/>
      <c r="D48" s="8"/>
      <c r="E48" s="8"/>
      <c r="F48" s="8"/>
      <c r="G48" s="2"/>
      <c r="H48" s="2"/>
    </row>
  </sheetData>
  <sheetProtection/>
  <mergeCells count="3">
    <mergeCell ref="A4:B4"/>
    <mergeCell ref="A5:C5"/>
    <mergeCell ref="A6:C6"/>
  </mergeCells>
  <printOptions/>
  <pageMargins left="0.7" right="0.7" top="1.25" bottom="0.75" header="0.3" footer="0.3"/>
  <pageSetup horizontalDpi="600" verticalDpi="600" orientation="portrait" scale="85" r:id="rId1"/>
  <headerFooter>
    <oddHeader>&amp;L&amp;D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6.8515625" style="378" customWidth="1"/>
    <col min="2" max="2" width="7.140625" style="31" customWidth="1"/>
    <col min="3" max="3" width="10.00390625" style="360" customWidth="1"/>
    <col min="4" max="4" width="6.28125" style="31" customWidth="1"/>
    <col min="5" max="5" width="9.7109375" style="244" customWidth="1"/>
    <col min="6" max="6" width="7.140625" style="31" customWidth="1"/>
    <col min="7" max="7" width="10.140625" style="360" customWidth="1"/>
    <col min="8" max="8" width="13.00390625" style="48" customWidth="1"/>
    <col min="9" max="9" width="9.7109375" style="48" customWidth="1"/>
    <col min="10" max="14" width="8.8515625" style="378" customWidth="1"/>
    <col min="15" max="15" width="12.7109375" style="378" bestFit="1" customWidth="1"/>
    <col min="16" max="16384" width="8.8515625" style="378" customWidth="1"/>
  </cols>
  <sheetData>
    <row r="1" spans="1:10" ht="15" customHeight="1">
      <c r="A1" s="556" t="s">
        <v>1350</v>
      </c>
      <c r="B1" s="557"/>
      <c r="C1" s="558"/>
      <c r="D1" s="557"/>
      <c r="E1" s="559"/>
      <c r="F1" s="557"/>
      <c r="G1" s="558"/>
      <c r="H1" s="560"/>
      <c r="I1" s="560"/>
      <c r="J1" s="262"/>
    </row>
    <row r="2" spans="1:10" ht="15" customHeight="1">
      <c r="A2" s="556" t="s">
        <v>1351</v>
      </c>
      <c r="B2" s="557"/>
      <c r="C2" s="558"/>
      <c r="D2" s="557"/>
      <c r="E2" s="559"/>
      <c r="F2" s="557"/>
      <c r="G2" s="558"/>
      <c r="H2" s="560"/>
      <c r="I2" s="560"/>
      <c r="J2" s="262"/>
    </row>
    <row r="3" spans="1:10" ht="15" customHeight="1">
      <c r="A3" s="556" t="s">
        <v>110</v>
      </c>
      <c r="B3" s="557"/>
      <c r="C3" s="558"/>
      <c r="D3" s="557"/>
      <c r="E3" s="559"/>
      <c r="F3" s="557"/>
      <c r="G3" s="558"/>
      <c r="H3" s="560"/>
      <c r="I3" s="560"/>
      <c r="J3" s="262"/>
    </row>
    <row r="4" spans="1:10" ht="15" customHeight="1">
      <c r="A4" s="556" t="s">
        <v>5</v>
      </c>
      <c r="B4" s="557"/>
      <c r="C4" s="558"/>
      <c r="D4" s="557"/>
      <c r="E4" s="559"/>
      <c r="F4" s="557"/>
      <c r="G4" s="558"/>
      <c r="H4" s="560"/>
      <c r="I4" s="560"/>
      <c r="J4" s="262"/>
    </row>
    <row r="5" spans="1:10" ht="15" customHeight="1">
      <c r="A5" s="556" t="s">
        <v>6</v>
      </c>
      <c r="B5" s="557"/>
      <c r="C5" s="558"/>
      <c r="D5" s="557"/>
      <c r="E5" s="561"/>
      <c r="F5" s="557"/>
      <c r="G5" s="558"/>
      <c r="H5" s="560"/>
      <c r="I5" s="560"/>
      <c r="J5" s="262"/>
    </row>
    <row r="6" spans="1:10" ht="15" customHeight="1">
      <c r="A6" s="556" t="s">
        <v>111</v>
      </c>
      <c r="B6" s="557"/>
      <c r="C6" s="558"/>
      <c r="D6" s="557"/>
      <c r="E6" s="559"/>
      <c r="F6" s="557"/>
      <c r="G6" s="558"/>
      <c r="H6" s="560"/>
      <c r="I6" s="560"/>
      <c r="J6" s="262"/>
    </row>
    <row r="7" spans="1:10" ht="15" customHeight="1">
      <c r="A7" s="556" t="s">
        <v>112</v>
      </c>
      <c r="B7" s="557"/>
      <c r="C7" s="558"/>
      <c r="D7" s="557"/>
      <c r="E7" s="562" t="s">
        <v>113</v>
      </c>
      <c r="F7" s="557"/>
      <c r="G7" s="558"/>
      <c r="H7" s="560"/>
      <c r="I7" s="560"/>
      <c r="J7" s="262"/>
    </row>
    <row r="8" spans="1:10" ht="15" customHeight="1">
      <c r="A8" s="563" t="s">
        <v>1352</v>
      </c>
      <c r="B8" s="564"/>
      <c r="C8" s="565"/>
      <c r="D8" s="564"/>
      <c r="E8" s="566"/>
      <c r="F8" s="564"/>
      <c r="G8" s="565"/>
      <c r="H8" s="567"/>
      <c r="I8" s="567"/>
      <c r="J8" s="262"/>
    </row>
    <row r="9" spans="1:10" ht="15" customHeight="1">
      <c r="A9" s="509"/>
      <c r="B9" s="568" t="s">
        <v>45</v>
      </c>
      <c r="C9" s="510"/>
      <c r="D9" s="568" t="s">
        <v>46</v>
      </c>
      <c r="E9" s="510"/>
      <c r="F9" s="568"/>
      <c r="G9" s="569" t="s">
        <v>47</v>
      </c>
      <c r="H9" s="511"/>
      <c r="I9" s="511"/>
      <c r="J9" s="262"/>
    </row>
    <row r="10" spans="1:10" ht="15" customHeight="1">
      <c r="A10" s="570" t="s">
        <v>461</v>
      </c>
      <c r="B10" s="571" t="s">
        <v>49</v>
      </c>
      <c r="C10" s="572" t="s">
        <v>50</v>
      </c>
      <c r="D10" s="571" t="s">
        <v>49</v>
      </c>
      <c r="E10" s="572" t="s">
        <v>50</v>
      </c>
      <c r="F10" s="571" t="s">
        <v>49</v>
      </c>
      <c r="G10" s="572" t="s">
        <v>50</v>
      </c>
      <c r="H10" s="573" t="s">
        <v>51</v>
      </c>
      <c r="I10" s="573" t="s">
        <v>52</v>
      </c>
      <c r="J10" s="262"/>
    </row>
    <row r="11" spans="1:10" ht="15" customHeight="1">
      <c r="A11" s="574" t="s">
        <v>466</v>
      </c>
      <c r="B11" s="575"/>
      <c r="C11" s="569">
        <v>0</v>
      </c>
      <c r="D11" s="576"/>
      <c r="E11" s="577"/>
      <c r="F11" s="576"/>
      <c r="G11" s="569"/>
      <c r="H11" s="578"/>
      <c r="I11" s="579"/>
      <c r="J11" s="262"/>
    </row>
    <row r="12" spans="1:10" ht="15" customHeight="1">
      <c r="A12" s="509" t="s">
        <v>14</v>
      </c>
      <c r="B12" s="578">
        <f aca="true" t="shared" si="0" ref="B12:H12">SUM(B11)</f>
        <v>0</v>
      </c>
      <c r="C12" s="569">
        <f t="shared" si="0"/>
        <v>0</v>
      </c>
      <c r="D12" s="568">
        <f t="shared" si="0"/>
        <v>0</v>
      </c>
      <c r="E12" s="569">
        <f t="shared" si="0"/>
        <v>0</v>
      </c>
      <c r="F12" s="568">
        <f t="shared" si="0"/>
        <v>0</v>
      </c>
      <c r="G12" s="569">
        <f t="shared" si="0"/>
        <v>0</v>
      </c>
      <c r="H12" s="578">
        <f t="shared" si="0"/>
        <v>0</v>
      </c>
      <c r="I12" s="578" t="e">
        <f>H12/G12</f>
        <v>#DIV/0!</v>
      </c>
      <c r="J12" s="262"/>
    </row>
    <row r="13" spans="1:10" ht="15" customHeight="1">
      <c r="A13" s="570" t="s">
        <v>462</v>
      </c>
      <c r="B13" s="571" t="s">
        <v>49</v>
      </c>
      <c r="C13" s="572" t="s">
        <v>50</v>
      </c>
      <c r="D13" s="571" t="s">
        <v>49</v>
      </c>
      <c r="E13" s="572" t="s">
        <v>50</v>
      </c>
      <c r="F13" s="571" t="s">
        <v>49</v>
      </c>
      <c r="G13" s="572" t="s">
        <v>50</v>
      </c>
      <c r="H13" s="573" t="s">
        <v>51</v>
      </c>
      <c r="I13" s="573" t="s">
        <v>52</v>
      </c>
      <c r="J13" s="262"/>
    </row>
    <row r="14" spans="1:10" ht="15" customHeight="1">
      <c r="A14" s="574" t="s">
        <v>53</v>
      </c>
      <c r="B14" s="541">
        <v>426</v>
      </c>
      <c r="C14" s="542">
        <v>21249</v>
      </c>
      <c r="D14" s="541">
        <v>10</v>
      </c>
      <c r="E14" s="538">
        <v>499.2</v>
      </c>
      <c r="F14" s="541">
        <v>436</v>
      </c>
      <c r="G14" s="538">
        <v>21748.2</v>
      </c>
      <c r="H14" s="540" t="s">
        <v>1353</v>
      </c>
      <c r="I14" s="540">
        <v>149.36</v>
      </c>
      <c r="J14" s="262"/>
    </row>
    <row r="15" spans="1:10" ht="15" customHeight="1">
      <c r="A15" s="574" t="s">
        <v>572</v>
      </c>
      <c r="B15" s="541">
        <v>45</v>
      </c>
      <c r="C15" s="542">
        <v>2244</v>
      </c>
      <c r="D15" s="541">
        <v>0</v>
      </c>
      <c r="E15" s="538">
        <v>0</v>
      </c>
      <c r="F15" s="541">
        <v>45</v>
      </c>
      <c r="G15" s="538">
        <v>2244</v>
      </c>
      <c r="H15" s="540" t="s">
        <v>1354</v>
      </c>
      <c r="I15" s="540">
        <v>165.03</v>
      </c>
      <c r="J15" s="262"/>
    </row>
    <row r="16" spans="1:10" ht="15" customHeight="1">
      <c r="A16" s="574" t="s">
        <v>322</v>
      </c>
      <c r="B16" s="541">
        <v>68</v>
      </c>
      <c r="C16" s="542">
        <v>3383</v>
      </c>
      <c r="D16" s="541">
        <v>26</v>
      </c>
      <c r="E16" s="538">
        <v>1296.9</v>
      </c>
      <c r="F16" s="541">
        <v>94</v>
      </c>
      <c r="G16" s="538">
        <v>4679.9</v>
      </c>
      <c r="H16" s="540" t="s">
        <v>1355</v>
      </c>
      <c r="I16" s="540">
        <v>142</v>
      </c>
      <c r="J16" s="262"/>
    </row>
    <row r="17" spans="1:10" ht="15" customHeight="1">
      <c r="A17" s="574" t="s">
        <v>168</v>
      </c>
      <c r="B17" s="541">
        <v>11</v>
      </c>
      <c r="C17" s="542">
        <v>547</v>
      </c>
      <c r="D17" s="541">
        <v>0</v>
      </c>
      <c r="E17" s="538">
        <v>0</v>
      </c>
      <c r="F17" s="541">
        <v>11</v>
      </c>
      <c r="G17" s="538">
        <v>547</v>
      </c>
      <c r="H17" s="540" t="s">
        <v>1356</v>
      </c>
      <c r="I17" s="540">
        <v>220</v>
      </c>
      <c r="J17" s="262"/>
    </row>
    <row r="18" spans="1:10" ht="15" customHeight="1">
      <c r="A18" s="574" t="s">
        <v>469</v>
      </c>
      <c r="B18" s="580"/>
      <c r="C18" s="542">
        <v>0</v>
      </c>
      <c r="D18" s="541">
        <v>20</v>
      </c>
      <c r="E18" s="538">
        <v>997.6</v>
      </c>
      <c r="F18" s="541">
        <v>20</v>
      </c>
      <c r="G18" s="538">
        <v>997.6</v>
      </c>
      <c r="H18" s="540" t="s">
        <v>1357</v>
      </c>
      <c r="I18" s="540">
        <v>122.51</v>
      </c>
      <c r="J18" s="262"/>
    </row>
    <row r="19" spans="1:10" ht="15" customHeight="1">
      <c r="A19" s="574" t="s">
        <v>171</v>
      </c>
      <c r="B19" s="580"/>
      <c r="C19" s="542">
        <v>0</v>
      </c>
      <c r="D19" s="541">
        <v>75</v>
      </c>
      <c r="E19" s="538">
        <v>3740</v>
      </c>
      <c r="F19" s="541">
        <v>75</v>
      </c>
      <c r="G19" s="538">
        <v>3740</v>
      </c>
      <c r="H19" s="540" t="s">
        <v>1358</v>
      </c>
      <c r="I19" s="540">
        <v>99.82</v>
      </c>
      <c r="J19" s="262"/>
    </row>
    <row r="20" spans="1:10" ht="15" customHeight="1">
      <c r="A20" s="574" t="s">
        <v>57</v>
      </c>
      <c r="B20" s="541">
        <v>125</v>
      </c>
      <c r="C20" s="542">
        <v>6239.5</v>
      </c>
      <c r="D20" s="541">
        <v>0</v>
      </c>
      <c r="E20" s="538">
        <v>0</v>
      </c>
      <c r="F20" s="541">
        <v>125</v>
      </c>
      <c r="G20" s="538">
        <v>6239.5</v>
      </c>
      <c r="H20" s="540" t="s">
        <v>1359</v>
      </c>
      <c r="I20" s="540">
        <v>132.48</v>
      </c>
      <c r="J20" s="262"/>
    </row>
    <row r="21" spans="1:10" ht="15" customHeight="1">
      <c r="A21" s="574" t="s">
        <v>475</v>
      </c>
      <c r="B21" s="541">
        <v>245</v>
      </c>
      <c r="C21" s="542">
        <v>12218.5</v>
      </c>
      <c r="D21" s="541">
        <v>0</v>
      </c>
      <c r="E21" s="538">
        <v>0</v>
      </c>
      <c r="F21" s="541">
        <v>245</v>
      </c>
      <c r="G21" s="538">
        <v>12218.5</v>
      </c>
      <c r="H21" s="540" t="s">
        <v>1360</v>
      </c>
      <c r="I21" s="540">
        <v>168.03</v>
      </c>
      <c r="J21" s="262"/>
    </row>
    <row r="22" spans="1:10" ht="15" customHeight="1">
      <c r="A22" s="574" t="s">
        <v>61</v>
      </c>
      <c r="B22" s="541">
        <v>40</v>
      </c>
      <c r="C22" s="542">
        <v>1998.5</v>
      </c>
      <c r="D22" s="541">
        <v>0</v>
      </c>
      <c r="E22" s="538">
        <v>0</v>
      </c>
      <c r="F22" s="541">
        <v>40</v>
      </c>
      <c r="G22" s="538">
        <v>1998.5</v>
      </c>
      <c r="H22" s="540" t="s">
        <v>1361</v>
      </c>
      <c r="I22" s="540">
        <v>81.5</v>
      </c>
      <c r="J22" s="262"/>
    </row>
    <row r="23" spans="1:10" ht="15" customHeight="1">
      <c r="A23" s="574" t="s">
        <v>67</v>
      </c>
      <c r="B23" s="541">
        <v>120</v>
      </c>
      <c r="C23" s="542">
        <v>5986.5</v>
      </c>
      <c r="D23" s="541">
        <v>130</v>
      </c>
      <c r="E23" s="538">
        <v>6489.6</v>
      </c>
      <c r="F23" s="541">
        <v>250</v>
      </c>
      <c r="G23" s="538">
        <v>12476.1</v>
      </c>
      <c r="H23" s="540" t="s">
        <v>1362</v>
      </c>
      <c r="I23" s="540">
        <v>148.12</v>
      </c>
      <c r="J23" s="262"/>
    </row>
    <row r="24" spans="1:10" ht="15" customHeight="1">
      <c r="A24" s="574" t="s">
        <v>71</v>
      </c>
      <c r="B24" s="543">
        <v>1395</v>
      </c>
      <c r="C24" s="542">
        <v>69630</v>
      </c>
      <c r="D24" s="541">
        <v>310</v>
      </c>
      <c r="E24" s="538">
        <v>15476</v>
      </c>
      <c r="F24" s="543">
        <v>1705</v>
      </c>
      <c r="G24" s="538">
        <v>85106</v>
      </c>
      <c r="H24" s="540" t="s">
        <v>1363</v>
      </c>
      <c r="I24" s="540">
        <v>160.72</v>
      </c>
      <c r="J24" s="262"/>
    </row>
    <row r="25" spans="1:10" ht="15" customHeight="1">
      <c r="A25" s="574" t="s">
        <v>648</v>
      </c>
      <c r="B25" s="541">
        <v>100</v>
      </c>
      <c r="C25" s="542">
        <v>4983.5</v>
      </c>
      <c r="D25" s="541">
        <v>0</v>
      </c>
      <c r="E25" s="538">
        <v>0</v>
      </c>
      <c r="F25" s="541">
        <v>100</v>
      </c>
      <c r="G25" s="538">
        <v>4983.5</v>
      </c>
      <c r="H25" s="540" t="s">
        <v>1364</v>
      </c>
      <c r="I25" s="540">
        <v>92.6</v>
      </c>
      <c r="J25" s="262"/>
    </row>
    <row r="26" spans="1:10" ht="15" customHeight="1">
      <c r="A26" s="574" t="s">
        <v>1019</v>
      </c>
      <c r="B26" s="541">
        <v>10</v>
      </c>
      <c r="C26" s="542">
        <v>498.5</v>
      </c>
      <c r="D26" s="541">
        <v>30</v>
      </c>
      <c r="E26" s="538">
        <v>1497.6</v>
      </c>
      <c r="F26" s="541">
        <v>40</v>
      </c>
      <c r="G26" s="538">
        <v>1996.1</v>
      </c>
      <c r="H26" s="540" t="s">
        <v>1365</v>
      </c>
      <c r="I26" s="540">
        <v>145.51</v>
      </c>
      <c r="J26" s="262"/>
    </row>
    <row r="27" spans="1:10" ht="15" customHeight="1">
      <c r="A27" s="574" t="s">
        <v>73</v>
      </c>
      <c r="B27" s="541">
        <v>190</v>
      </c>
      <c r="C27" s="542">
        <v>9468.5</v>
      </c>
      <c r="D27" s="541">
        <v>0</v>
      </c>
      <c r="E27" s="538">
        <v>0</v>
      </c>
      <c r="F27" s="541">
        <v>190</v>
      </c>
      <c r="G27" s="538">
        <v>9468.5</v>
      </c>
      <c r="H27" s="540" t="s">
        <v>1366</v>
      </c>
      <c r="I27" s="540">
        <v>119.88</v>
      </c>
      <c r="J27" s="262"/>
    </row>
    <row r="28" spans="1:10" ht="15" customHeight="1">
      <c r="A28" s="574" t="s">
        <v>75</v>
      </c>
      <c r="B28" s="541">
        <v>30</v>
      </c>
      <c r="C28" s="542">
        <v>1494.5</v>
      </c>
      <c r="D28" s="541">
        <v>0</v>
      </c>
      <c r="E28" s="538">
        <v>0</v>
      </c>
      <c r="F28" s="541">
        <v>30</v>
      </c>
      <c r="G28" s="538">
        <v>1494.5</v>
      </c>
      <c r="H28" s="540" t="s">
        <v>1367</v>
      </c>
      <c r="I28" s="540">
        <v>143.66</v>
      </c>
      <c r="J28" s="262"/>
    </row>
    <row r="29" spans="1:10" ht="15" customHeight="1">
      <c r="A29" s="574" t="s">
        <v>77</v>
      </c>
      <c r="B29" s="541">
        <v>50</v>
      </c>
      <c r="C29" s="542">
        <v>2494</v>
      </c>
      <c r="D29" s="541">
        <v>60</v>
      </c>
      <c r="E29" s="538">
        <v>2992</v>
      </c>
      <c r="F29" s="541">
        <v>110</v>
      </c>
      <c r="G29" s="538">
        <v>5486</v>
      </c>
      <c r="H29" s="540" t="s">
        <v>1368</v>
      </c>
      <c r="I29" s="540">
        <v>127.67</v>
      </c>
      <c r="J29" s="262"/>
    </row>
    <row r="30" spans="1:10" ht="15" customHeight="1">
      <c r="A30" s="574" t="s">
        <v>81</v>
      </c>
      <c r="B30" s="541">
        <f>65+15</f>
        <v>80</v>
      </c>
      <c r="C30" s="542">
        <f>3244+748.5</f>
        <v>3992.5</v>
      </c>
      <c r="D30" s="541">
        <v>0</v>
      </c>
      <c r="E30" s="538">
        <v>0</v>
      </c>
      <c r="F30" s="541">
        <f>65+15</f>
        <v>80</v>
      </c>
      <c r="G30" s="538">
        <f>3244+748.5</f>
        <v>3992.5</v>
      </c>
      <c r="H30" s="540">
        <f>353841.5+86826</f>
        <v>440667.5</v>
      </c>
      <c r="I30" s="540">
        <f>H30/G30</f>
        <v>110.37382592360676</v>
      </c>
      <c r="J30" s="262"/>
    </row>
    <row r="31" spans="1:10" ht="15" customHeight="1">
      <c r="A31" s="574" t="s">
        <v>83</v>
      </c>
      <c r="B31" s="541">
        <v>175</v>
      </c>
      <c r="C31" s="542">
        <v>8729</v>
      </c>
      <c r="D31" s="541">
        <v>10</v>
      </c>
      <c r="E31" s="538">
        <v>499.2</v>
      </c>
      <c r="F31" s="541">
        <v>185</v>
      </c>
      <c r="G31" s="538">
        <v>9228.2</v>
      </c>
      <c r="H31" s="540" t="s">
        <v>1369</v>
      </c>
      <c r="I31" s="540">
        <v>125.01</v>
      </c>
      <c r="J31" s="262"/>
    </row>
    <row r="32" spans="1:10" ht="15" customHeight="1">
      <c r="A32" s="574" t="s">
        <v>85</v>
      </c>
      <c r="B32" s="580"/>
      <c r="C32" s="542">
        <v>0</v>
      </c>
      <c r="D32" s="541">
        <v>40</v>
      </c>
      <c r="E32" s="538">
        <v>1996</v>
      </c>
      <c r="F32" s="541">
        <v>40</v>
      </c>
      <c r="G32" s="538">
        <v>1996</v>
      </c>
      <c r="H32" s="540" t="s">
        <v>1370</v>
      </c>
      <c r="I32" s="540">
        <v>213.73</v>
      </c>
      <c r="J32" s="262"/>
    </row>
    <row r="33" spans="1:10" ht="15" customHeight="1">
      <c r="A33" s="574" t="s">
        <v>150</v>
      </c>
      <c r="B33" s="541">
        <v>25</v>
      </c>
      <c r="C33" s="542">
        <v>1245.5</v>
      </c>
      <c r="D33" s="541">
        <v>0</v>
      </c>
      <c r="E33" s="538">
        <v>0</v>
      </c>
      <c r="F33" s="541">
        <v>25</v>
      </c>
      <c r="G33" s="538">
        <v>1245.5</v>
      </c>
      <c r="H33" s="540">
        <v>99647.5</v>
      </c>
      <c r="I33" s="540">
        <v>80.01</v>
      </c>
      <c r="J33" s="262"/>
    </row>
    <row r="34" spans="1:10" ht="15" customHeight="1">
      <c r="A34" s="574" t="s">
        <v>92</v>
      </c>
      <c r="B34" s="580"/>
      <c r="C34" s="542">
        <v>0</v>
      </c>
      <c r="D34" s="541">
        <v>50</v>
      </c>
      <c r="E34" s="538">
        <v>2497.6</v>
      </c>
      <c r="F34" s="541">
        <v>50</v>
      </c>
      <c r="G34" s="538">
        <v>2497.6</v>
      </c>
      <c r="H34" s="540" t="s">
        <v>1371</v>
      </c>
      <c r="I34" s="540">
        <v>145.63</v>
      </c>
      <c r="J34" s="262"/>
    </row>
    <row r="35" spans="1:10" ht="15" customHeight="1">
      <c r="A35" s="574" t="s">
        <v>229</v>
      </c>
      <c r="B35" s="541">
        <v>135</v>
      </c>
      <c r="C35" s="542">
        <v>6736.5</v>
      </c>
      <c r="D35" s="541">
        <v>0</v>
      </c>
      <c r="E35" s="538">
        <v>0</v>
      </c>
      <c r="F35" s="541">
        <v>135</v>
      </c>
      <c r="G35" s="538">
        <v>6736.5</v>
      </c>
      <c r="H35" s="540" t="s">
        <v>1372</v>
      </c>
      <c r="I35" s="540">
        <v>90.78</v>
      </c>
      <c r="J35" s="262"/>
    </row>
    <row r="36" spans="1:10" ht="15" customHeight="1">
      <c r="A36" s="574" t="s">
        <v>187</v>
      </c>
      <c r="B36" s="541">
        <v>10</v>
      </c>
      <c r="C36" s="542">
        <v>495.5</v>
      </c>
      <c r="D36" s="541">
        <v>0</v>
      </c>
      <c r="E36" s="538">
        <v>0</v>
      </c>
      <c r="F36" s="541">
        <v>10</v>
      </c>
      <c r="G36" s="538">
        <v>495.5</v>
      </c>
      <c r="H36" s="540" t="s">
        <v>1373</v>
      </c>
      <c r="I36" s="540">
        <v>214</v>
      </c>
      <c r="J36" s="262"/>
    </row>
    <row r="37" spans="1:10" ht="15" customHeight="1">
      <c r="A37" s="574" t="s">
        <v>94</v>
      </c>
      <c r="B37" s="580"/>
      <c r="C37" s="542">
        <v>0</v>
      </c>
      <c r="D37" s="541">
        <v>10</v>
      </c>
      <c r="E37" s="538">
        <v>499.2</v>
      </c>
      <c r="F37" s="541">
        <v>10</v>
      </c>
      <c r="G37" s="538">
        <v>499.2</v>
      </c>
      <c r="H37" s="540">
        <v>77376</v>
      </c>
      <c r="I37" s="540">
        <v>155</v>
      </c>
      <c r="J37" s="262"/>
    </row>
    <row r="38" spans="1:10" ht="15" customHeight="1">
      <c r="A38" s="574" t="s">
        <v>190</v>
      </c>
      <c r="B38" s="541">
        <v>30</v>
      </c>
      <c r="C38" s="542">
        <v>1495.5</v>
      </c>
      <c r="D38" s="541">
        <v>0</v>
      </c>
      <c r="E38" s="538">
        <v>0</v>
      </c>
      <c r="F38" s="541">
        <v>30</v>
      </c>
      <c r="G38" s="538">
        <v>1495.5</v>
      </c>
      <c r="H38" s="540" t="s">
        <v>66</v>
      </c>
      <c r="I38" s="540">
        <v>88.33</v>
      </c>
      <c r="J38" s="262"/>
    </row>
    <row r="39" spans="1:10" ht="15" customHeight="1">
      <c r="A39" s="574" t="s">
        <v>96</v>
      </c>
      <c r="B39" s="541">
        <v>46</v>
      </c>
      <c r="C39" s="542">
        <v>2252</v>
      </c>
      <c r="D39" s="541">
        <v>0</v>
      </c>
      <c r="E39" s="538">
        <v>0</v>
      </c>
      <c r="F39" s="541">
        <v>46</v>
      </c>
      <c r="G39" s="538">
        <v>2252</v>
      </c>
      <c r="H39" s="540" t="s">
        <v>1374</v>
      </c>
      <c r="I39" s="540">
        <v>113.23</v>
      </c>
      <c r="J39" s="262"/>
    </row>
    <row r="40" spans="1:10" ht="15" customHeight="1">
      <c r="A40" s="574" t="s">
        <v>1068</v>
      </c>
      <c r="B40" s="541">
        <v>150</v>
      </c>
      <c r="C40" s="542">
        <v>7472.5</v>
      </c>
      <c r="D40" s="541">
        <v>0</v>
      </c>
      <c r="E40" s="538">
        <v>0</v>
      </c>
      <c r="F40" s="541">
        <v>150</v>
      </c>
      <c r="G40" s="538">
        <v>7472.5</v>
      </c>
      <c r="H40" s="540" t="s">
        <v>1375</v>
      </c>
      <c r="I40" s="540">
        <v>106.69</v>
      </c>
      <c r="J40" s="262"/>
    </row>
    <row r="41" spans="1:10" ht="15" customHeight="1">
      <c r="A41" s="574" t="s">
        <v>98</v>
      </c>
      <c r="B41" s="541">
        <v>225</v>
      </c>
      <c r="C41" s="542">
        <v>11218.5</v>
      </c>
      <c r="D41" s="541">
        <v>30</v>
      </c>
      <c r="E41" s="538">
        <v>1497.6</v>
      </c>
      <c r="F41" s="541">
        <v>255</v>
      </c>
      <c r="G41" s="538">
        <v>12716.1</v>
      </c>
      <c r="H41" s="540" t="s">
        <v>1376</v>
      </c>
      <c r="I41" s="540">
        <v>104.05</v>
      </c>
      <c r="J41" s="262"/>
    </row>
    <row r="42" spans="1:10" ht="15" customHeight="1">
      <c r="A42" s="574" t="s">
        <v>237</v>
      </c>
      <c r="B42" s="541">
        <v>20</v>
      </c>
      <c r="C42" s="542">
        <v>994</v>
      </c>
      <c r="D42" s="541">
        <v>0</v>
      </c>
      <c r="E42" s="538">
        <v>0</v>
      </c>
      <c r="F42" s="541">
        <v>20</v>
      </c>
      <c r="G42" s="538">
        <v>994</v>
      </c>
      <c r="H42" s="540" t="s">
        <v>1377</v>
      </c>
      <c r="I42" s="540">
        <v>165</v>
      </c>
      <c r="J42" s="262"/>
    </row>
    <row r="43" spans="1:10" ht="15" customHeight="1">
      <c r="A43" s="574" t="s">
        <v>99</v>
      </c>
      <c r="B43" s="541">
        <v>15</v>
      </c>
      <c r="C43" s="542">
        <v>747</v>
      </c>
      <c r="D43" s="541">
        <v>0</v>
      </c>
      <c r="E43" s="538">
        <v>0</v>
      </c>
      <c r="F43" s="541">
        <v>15</v>
      </c>
      <c r="G43" s="538">
        <v>747</v>
      </c>
      <c r="H43" s="540" t="s">
        <v>1378</v>
      </c>
      <c r="I43" s="540">
        <v>135</v>
      </c>
      <c r="J43" s="262"/>
    </row>
    <row r="44" spans="1:10" ht="15" customHeight="1">
      <c r="A44" s="574" t="s">
        <v>578</v>
      </c>
      <c r="B44" s="541">
        <v>60</v>
      </c>
      <c r="C44" s="542">
        <v>2989.5</v>
      </c>
      <c r="D44" s="541">
        <v>0</v>
      </c>
      <c r="E44" s="538">
        <v>0</v>
      </c>
      <c r="F44" s="541">
        <v>60</v>
      </c>
      <c r="G44" s="538">
        <v>2989.5</v>
      </c>
      <c r="H44" s="540" t="s">
        <v>1379</v>
      </c>
      <c r="I44" s="540">
        <v>128.83</v>
      </c>
      <c r="J44" s="262"/>
    </row>
    <row r="45" spans="1:10" ht="15" customHeight="1">
      <c r="A45" s="574" t="s">
        <v>14</v>
      </c>
      <c r="B45" s="543">
        <v>3826</v>
      </c>
      <c r="C45" s="529" t="s">
        <v>1380</v>
      </c>
      <c r="D45" s="541">
        <v>801</v>
      </c>
      <c r="E45" s="538">
        <v>39978.5</v>
      </c>
      <c r="F45" s="543">
        <v>4627</v>
      </c>
      <c r="G45" s="540" t="s">
        <v>1381</v>
      </c>
      <c r="H45" s="540" t="s">
        <v>1382</v>
      </c>
      <c r="I45" s="540">
        <v>141.72</v>
      </c>
      <c r="J45" s="262"/>
    </row>
    <row r="46" spans="1:10" ht="15" customHeight="1">
      <c r="A46" s="581"/>
      <c r="B46" s="568"/>
      <c r="C46" s="569"/>
      <c r="D46" s="568"/>
      <c r="E46" s="569"/>
      <c r="F46" s="568"/>
      <c r="G46" s="569"/>
      <c r="H46" s="578"/>
      <c r="I46" s="578"/>
      <c r="J46" s="262"/>
    </row>
    <row r="47" spans="1:9" ht="15" customHeight="1">
      <c r="A47" s="570"/>
      <c r="B47" s="512"/>
      <c r="C47" s="510"/>
      <c r="D47" s="512"/>
      <c r="E47" s="513"/>
      <c r="F47" s="582"/>
      <c r="G47" s="510" t="s">
        <v>119</v>
      </c>
      <c r="H47" s="511"/>
      <c r="I47" s="511"/>
    </row>
    <row r="48" spans="1:9" ht="15" customHeight="1">
      <c r="A48" s="570"/>
      <c r="B48" s="512"/>
      <c r="C48" s="510"/>
      <c r="D48" s="512"/>
      <c r="E48" s="513"/>
      <c r="F48" s="513"/>
      <c r="G48" s="583" t="s">
        <v>121</v>
      </c>
      <c r="H48" s="511"/>
      <c r="I48" s="511"/>
    </row>
    <row r="49" spans="1:9" ht="15" customHeight="1">
      <c r="A49" s="556" t="s">
        <v>117</v>
      </c>
      <c r="B49" s="512"/>
      <c r="C49" s="510"/>
      <c r="D49" s="512"/>
      <c r="E49" s="513"/>
      <c r="F49" s="512"/>
      <c r="G49" s="510"/>
      <c r="H49" s="511"/>
      <c r="I49" s="511"/>
    </row>
    <row r="50" spans="1:9" ht="15" customHeight="1">
      <c r="A50" s="556" t="s">
        <v>118</v>
      </c>
      <c r="B50" s="512"/>
      <c r="C50" s="510"/>
      <c r="D50" s="512"/>
      <c r="E50" s="513"/>
      <c r="F50" s="512"/>
      <c r="G50" s="510"/>
      <c r="H50" s="511"/>
      <c r="I50" s="511"/>
    </row>
    <row r="51" spans="1:9" ht="15" customHeight="1">
      <c r="A51" s="556" t="s">
        <v>120</v>
      </c>
      <c r="B51" s="512"/>
      <c r="C51" s="510"/>
      <c r="D51" s="512"/>
      <c r="E51" s="513"/>
      <c r="F51" s="512"/>
      <c r="G51" s="510"/>
      <c r="H51" s="511"/>
      <c r="I51" s="511"/>
    </row>
    <row r="52" spans="1:9" ht="15" customHeight="1">
      <c r="A52" s="556" t="s">
        <v>122</v>
      </c>
      <c r="B52" s="512"/>
      <c r="C52" s="510"/>
      <c r="D52" s="512"/>
      <c r="E52" s="513"/>
      <c r="F52" s="512"/>
      <c r="G52" s="510"/>
      <c r="H52" s="511"/>
      <c r="I52" s="511"/>
    </row>
    <row r="53" spans="1:9" ht="15" customHeight="1">
      <c r="A53" s="556" t="s">
        <v>123</v>
      </c>
      <c r="B53" s="512"/>
      <c r="C53" s="510"/>
      <c r="D53" s="512"/>
      <c r="E53" s="513"/>
      <c r="F53" s="512"/>
      <c r="G53" s="510"/>
      <c r="H53" s="511"/>
      <c r="I53" s="511"/>
    </row>
    <row r="54" spans="1:9" ht="15" customHeight="1">
      <c r="A54" s="114"/>
      <c r="B54" s="355"/>
      <c r="C54" s="342"/>
      <c r="D54" s="355"/>
      <c r="E54" s="117"/>
      <c r="F54" s="355"/>
      <c r="G54" s="342"/>
      <c r="H54" s="118"/>
      <c r="I54" s="118"/>
    </row>
    <row r="55" spans="1:9" ht="15" customHeight="1">
      <c r="A55" s="114"/>
      <c r="B55" s="355"/>
      <c r="C55" s="342"/>
      <c r="D55" s="355"/>
      <c r="E55" s="117"/>
      <c r="F55" s="355"/>
      <c r="G55" s="342"/>
      <c r="H55" s="118"/>
      <c r="I55" s="118"/>
    </row>
    <row r="56" spans="1:9" ht="15" customHeight="1">
      <c r="A56" s="114"/>
      <c r="B56" s="355"/>
      <c r="C56" s="342"/>
      <c r="D56" s="355"/>
      <c r="E56" s="117"/>
      <c r="F56" s="355"/>
      <c r="G56" s="342"/>
      <c r="H56" s="118"/>
      <c r="I56" s="118"/>
    </row>
    <row r="57" spans="1:9" ht="15" customHeight="1">
      <c r="A57" s="114"/>
      <c r="B57" s="355"/>
      <c r="C57" s="342"/>
      <c r="D57" s="355"/>
      <c r="E57" s="117"/>
      <c r="F57" s="355"/>
      <c r="G57" s="342"/>
      <c r="H57" s="118"/>
      <c r="I57" s="118"/>
    </row>
    <row r="58" spans="1:9" ht="15" customHeight="1">
      <c r="A58" s="114"/>
      <c r="B58" s="355"/>
      <c r="C58" s="342"/>
      <c r="D58" s="355"/>
      <c r="E58" s="117"/>
      <c r="F58" s="355"/>
      <c r="G58" s="342"/>
      <c r="H58" s="118"/>
      <c r="I58" s="118"/>
    </row>
    <row r="59" spans="1:9" ht="15" customHeight="1">
      <c r="A59" s="114"/>
      <c r="B59" s="355"/>
      <c r="C59" s="342"/>
      <c r="D59" s="355"/>
      <c r="E59" s="117"/>
      <c r="F59" s="355"/>
      <c r="G59" s="342"/>
      <c r="H59" s="118"/>
      <c r="I59" s="118"/>
    </row>
    <row r="60" ht="15" customHeight="1">
      <c r="A60" s="1"/>
    </row>
    <row r="61" spans="1:15" s="31" customFormat="1" ht="15" customHeight="1">
      <c r="A61" s="1"/>
      <c r="C61" s="360"/>
      <c r="E61" s="244"/>
      <c r="G61" s="360"/>
      <c r="H61" s="48"/>
      <c r="I61" s="48"/>
      <c r="J61" s="378"/>
      <c r="K61" s="378"/>
      <c r="L61" s="378"/>
      <c r="M61" s="378"/>
      <c r="N61" s="378"/>
      <c r="O61" s="378"/>
    </row>
    <row r="62" spans="1:15" s="31" customFormat="1" ht="15" customHeight="1">
      <c r="A62" s="1"/>
      <c r="C62" s="360"/>
      <c r="E62" s="244"/>
      <c r="G62" s="360"/>
      <c r="H62" s="48"/>
      <c r="I62" s="48"/>
      <c r="J62" s="378"/>
      <c r="K62" s="378"/>
      <c r="L62" s="378"/>
      <c r="M62" s="378"/>
      <c r="N62" s="378"/>
      <c r="O62" s="378"/>
    </row>
    <row r="63" spans="1:15" s="31" customFormat="1" ht="15" customHeight="1">
      <c r="A63" s="1"/>
      <c r="C63" s="360"/>
      <c r="E63" s="244"/>
      <c r="G63" s="360"/>
      <c r="H63" s="48"/>
      <c r="I63" s="48"/>
      <c r="J63" s="378"/>
      <c r="K63" s="378"/>
      <c r="L63" s="378"/>
      <c r="M63" s="378"/>
      <c r="N63" s="378"/>
      <c r="O63" s="378"/>
    </row>
    <row r="64" spans="1:15" s="31" customFormat="1" ht="15" customHeight="1">
      <c r="A64" s="1"/>
      <c r="C64" s="360"/>
      <c r="E64" s="244"/>
      <c r="G64" s="360"/>
      <c r="H64" s="48"/>
      <c r="I64" s="48"/>
      <c r="J64" s="378"/>
      <c r="K64" s="378"/>
      <c r="L64" s="378"/>
      <c r="M64" s="378"/>
      <c r="N64" s="378"/>
      <c r="O64" s="378"/>
    </row>
  </sheetData>
  <sheetProtection/>
  <printOptions/>
  <pageMargins left="0.7" right="0.7" top="0.83" bottom="0.5" header="0.3" footer="0.3"/>
  <pageSetup horizontalDpi="600" verticalDpi="600" orientation="portrait" scale="90" r:id="rId1"/>
  <headerFooter>
    <oddHeader>&amp;L&amp;D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6.8515625" style="378" customWidth="1"/>
    <col min="2" max="2" width="7.140625" style="31" customWidth="1"/>
    <col min="3" max="3" width="10.00390625" style="360" customWidth="1"/>
    <col min="4" max="4" width="6.28125" style="31" customWidth="1"/>
    <col min="5" max="5" width="9.7109375" style="244" customWidth="1"/>
    <col min="6" max="6" width="7.140625" style="31" customWidth="1"/>
    <col min="7" max="7" width="10.140625" style="360" customWidth="1"/>
    <col min="8" max="8" width="13.00390625" style="48" customWidth="1"/>
    <col min="9" max="9" width="9.7109375" style="48" customWidth="1"/>
    <col min="10" max="14" width="8.8515625" style="378" customWidth="1"/>
    <col min="15" max="15" width="12.7109375" style="378" bestFit="1" customWidth="1"/>
    <col min="16" max="16384" width="8.8515625" style="378" customWidth="1"/>
  </cols>
  <sheetData>
    <row r="1" spans="1:10" ht="12.75" customHeight="1">
      <c r="A1" s="329" t="s">
        <v>1308</v>
      </c>
      <c r="B1" s="330"/>
      <c r="C1" s="331"/>
      <c r="D1" s="330"/>
      <c r="E1" s="332"/>
      <c r="F1" s="330"/>
      <c r="G1" s="331"/>
      <c r="H1" s="333"/>
      <c r="I1" s="333"/>
      <c r="J1" s="262"/>
    </row>
    <row r="2" spans="1:10" ht="12.75" customHeight="1">
      <c r="A2" s="329" t="s">
        <v>1309</v>
      </c>
      <c r="B2" s="330"/>
      <c r="C2" s="331"/>
      <c r="D2" s="330"/>
      <c r="E2" s="332"/>
      <c r="F2" s="330"/>
      <c r="G2" s="331"/>
      <c r="H2" s="333"/>
      <c r="I2" s="333"/>
      <c r="J2" s="262"/>
    </row>
    <row r="3" spans="1:10" ht="12.75" customHeight="1">
      <c r="A3" s="329" t="s">
        <v>110</v>
      </c>
      <c r="B3" s="330"/>
      <c r="C3" s="331"/>
      <c r="D3" s="330"/>
      <c r="E3" s="332"/>
      <c r="F3" s="330"/>
      <c r="G3" s="331"/>
      <c r="H3" s="333"/>
      <c r="I3" s="333"/>
      <c r="J3" s="262"/>
    </row>
    <row r="4" spans="1:10" ht="12.75" customHeight="1">
      <c r="A4" s="329" t="s">
        <v>5</v>
      </c>
      <c r="B4" s="330"/>
      <c r="C4" s="331"/>
      <c r="D4" s="330"/>
      <c r="E4" s="332"/>
      <c r="F4" s="330"/>
      <c r="G4" s="331"/>
      <c r="H4" s="333"/>
      <c r="I4" s="333"/>
      <c r="J4" s="262"/>
    </row>
    <row r="5" spans="1:10" ht="12.75" customHeight="1">
      <c r="A5" s="329" t="s">
        <v>6</v>
      </c>
      <c r="B5" s="330"/>
      <c r="C5" s="331"/>
      <c r="D5" s="330"/>
      <c r="E5" s="334"/>
      <c r="F5" s="330"/>
      <c r="G5" s="331"/>
      <c r="H5" s="333"/>
      <c r="I5" s="333"/>
      <c r="J5" s="262"/>
    </row>
    <row r="6" spans="1:10" ht="12.75" customHeight="1">
      <c r="A6" s="329" t="s">
        <v>111</v>
      </c>
      <c r="B6" s="330"/>
      <c r="C6" s="331"/>
      <c r="D6" s="330"/>
      <c r="E6" s="332"/>
      <c r="F6" s="330"/>
      <c r="G6" s="331"/>
      <c r="H6" s="333"/>
      <c r="I6" s="333"/>
      <c r="J6" s="262"/>
    </row>
    <row r="7" spans="1:10" ht="12.75" customHeight="1">
      <c r="A7" s="329" t="s">
        <v>112</v>
      </c>
      <c r="B7" s="330"/>
      <c r="C7" s="331"/>
      <c r="D7" s="330"/>
      <c r="E7" s="335" t="s">
        <v>113</v>
      </c>
      <c r="F7" s="330"/>
      <c r="G7" s="331"/>
      <c r="H7" s="333"/>
      <c r="I7" s="333"/>
      <c r="J7" s="262"/>
    </row>
    <row r="8" spans="1:10" ht="12.75" customHeight="1">
      <c r="A8" s="336" t="s">
        <v>1310</v>
      </c>
      <c r="B8" s="337"/>
      <c r="C8" s="338"/>
      <c r="D8" s="337"/>
      <c r="E8" s="339"/>
      <c r="F8" s="337"/>
      <c r="G8" s="338"/>
      <c r="H8" s="340"/>
      <c r="I8" s="340"/>
      <c r="J8" s="262"/>
    </row>
    <row r="9" spans="1:10" ht="12.75" customHeight="1">
      <c r="A9" s="114"/>
      <c r="B9" s="341" t="s">
        <v>45</v>
      </c>
      <c r="C9" s="342"/>
      <c r="D9" s="341" t="s">
        <v>46</v>
      </c>
      <c r="E9" s="342"/>
      <c r="F9" s="341"/>
      <c r="G9" s="343" t="s">
        <v>47</v>
      </c>
      <c r="H9" s="118"/>
      <c r="I9" s="118"/>
      <c r="J9" s="262"/>
    </row>
    <row r="10" spans="1:10" ht="12.75" customHeight="1">
      <c r="A10" s="344" t="s">
        <v>461</v>
      </c>
      <c r="B10" s="345" t="s">
        <v>49</v>
      </c>
      <c r="C10" s="346" t="s">
        <v>50</v>
      </c>
      <c r="D10" s="345" t="s">
        <v>49</v>
      </c>
      <c r="E10" s="346" t="s">
        <v>50</v>
      </c>
      <c r="F10" s="345" t="s">
        <v>49</v>
      </c>
      <c r="G10" s="346" t="s">
        <v>50</v>
      </c>
      <c r="H10" s="347" t="s">
        <v>51</v>
      </c>
      <c r="I10" s="347" t="s">
        <v>52</v>
      </c>
      <c r="J10" s="262"/>
    </row>
    <row r="11" spans="1:10" ht="12.75" customHeight="1">
      <c r="A11" s="119" t="s">
        <v>466</v>
      </c>
      <c r="B11" s="348"/>
      <c r="C11" s="343">
        <v>0</v>
      </c>
      <c r="D11" s="115"/>
      <c r="E11" s="121"/>
      <c r="F11" s="115"/>
      <c r="G11" s="343"/>
      <c r="H11" s="122"/>
      <c r="I11" s="350"/>
      <c r="J11" s="262"/>
    </row>
    <row r="12" spans="1:10" ht="12.75" customHeight="1">
      <c r="A12" s="114" t="s">
        <v>14</v>
      </c>
      <c r="B12" s="122">
        <f aca="true" t="shared" si="0" ref="B12:H12">SUM(B11)</f>
        <v>0</v>
      </c>
      <c r="C12" s="343">
        <f t="shared" si="0"/>
        <v>0</v>
      </c>
      <c r="D12" s="341">
        <f t="shared" si="0"/>
        <v>0</v>
      </c>
      <c r="E12" s="343">
        <f t="shared" si="0"/>
        <v>0</v>
      </c>
      <c r="F12" s="341">
        <f t="shared" si="0"/>
        <v>0</v>
      </c>
      <c r="G12" s="343">
        <f t="shared" si="0"/>
        <v>0</v>
      </c>
      <c r="H12" s="122">
        <f t="shared" si="0"/>
        <v>0</v>
      </c>
      <c r="I12" s="122" t="e">
        <f>H12/G12</f>
        <v>#DIV/0!</v>
      </c>
      <c r="J12" s="262"/>
    </row>
    <row r="13" spans="1:10" ht="12.75" customHeight="1">
      <c r="A13" s="344" t="s">
        <v>462</v>
      </c>
      <c r="B13" s="345" t="s">
        <v>49</v>
      </c>
      <c r="C13" s="346" t="s">
        <v>50</v>
      </c>
      <c r="D13" s="345" t="s">
        <v>49</v>
      </c>
      <c r="E13" s="346" t="s">
        <v>50</v>
      </c>
      <c r="F13" s="345" t="s">
        <v>49</v>
      </c>
      <c r="G13" s="346" t="s">
        <v>50</v>
      </c>
      <c r="H13" s="347" t="s">
        <v>51</v>
      </c>
      <c r="I13" s="347" t="s">
        <v>52</v>
      </c>
      <c r="J13" s="262"/>
    </row>
    <row r="14" spans="1:10" ht="12.75" customHeight="1">
      <c r="A14" s="351" t="s">
        <v>53</v>
      </c>
      <c r="B14" s="341">
        <v>1092</v>
      </c>
      <c r="C14" s="343">
        <v>54483</v>
      </c>
      <c r="D14" s="341">
        <v>30</v>
      </c>
      <c r="E14" s="343">
        <v>1497.6</v>
      </c>
      <c r="F14" s="341">
        <v>1122</v>
      </c>
      <c r="G14" s="343">
        <v>55980.6</v>
      </c>
      <c r="H14" s="122" t="s">
        <v>1311</v>
      </c>
      <c r="I14" s="122">
        <v>139.44</v>
      </c>
      <c r="J14" s="262"/>
    </row>
    <row r="15" spans="1:10" ht="12.75" customHeight="1">
      <c r="A15" s="351" t="s">
        <v>322</v>
      </c>
      <c r="B15" s="341">
        <v>115</v>
      </c>
      <c r="C15" s="343">
        <v>5726</v>
      </c>
      <c r="D15" s="341">
        <v>10</v>
      </c>
      <c r="E15" s="343">
        <v>499.2</v>
      </c>
      <c r="F15" s="341">
        <v>125</v>
      </c>
      <c r="G15" s="343">
        <v>6225.2</v>
      </c>
      <c r="H15" s="122" t="s">
        <v>1312</v>
      </c>
      <c r="I15" s="122">
        <v>133.49</v>
      </c>
      <c r="J15" s="262"/>
    </row>
    <row r="16" spans="1:10" ht="12.75" customHeight="1">
      <c r="A16" s="351" t="s">
        <v>168</v>
      </c>
      <c r="B16" s="341">
        <v>20</v>
      </c>
      <c r="C16" s="343">
        <v>991</v>
      </c>
      <c r="D16" s="341">
        <v>0</v>
      </c>
      <c r="E16" s="343">
        <v>0</v>
      </c>
      <c r="F16" s="341">
        <v>20</v>
      </c>
      <c r="G16" s="343">
        <v>991</v>
      </c>
      <c r="H16" s="122" t="s">
        <v>1313</v>
      </c>
      <c r="I16" s="122">
        <v>225</v>
      </c>
      <c r="J16" s="262"/>
    </row>
    <row r="17" spans="1:10" ht="12.75" customHeight="1">
      <c r="A17" s="351" t="s">
        <v>469</v>
      </c>
      <c r="B17" s="341"/>
      <c r="C17" s="343">
        <v>0</v>
      </c>
      <c r="D17" s="341">
        <v>85</v>
      </c>
      <c r="E17" s="343">
        <v>4243.1</v>
      </c>
      <c r="F17" s="341">
        <v>85</v>
      </c>
      <c r="G17" s="343">
        <v>4243.1</v>
      </c>
      <c r="H17" s="122" t="s">
        <v>1314</v>
      </c>
      <c r="I17" s="122">
        <v>157.47</v>
      </c>
      <c r="J17" s="262"/>
    </row>
    <row r="18" spans="1:10" ht="12.75" customHeight="1">
      <c r="A18" s="351" t="s">
        <v>171</v>
      </c>
      <c r="B18" s="341"/>
      <c r="C18" s="343">
        <v>0</v>
      </c>
      <c r="D18" s="341">
        <v>108</v>
      </c>
      <c r="E18" s="343">
        <v>5391.1</v>
      </c>
      <c r="F18" s="341">
        <v>108</v>
      </c>
      <c r="G18" s="343">
        <v>5391.1</v>
      </c>
      <c r="H18" s="122" t="s">
        <v>1315</v>
      </c>
      <c r="I18" s="122">
        <v>123.78</v>
      </c>
      <c r="J18" s="262"/>
    </row>
    <row r="19" spans="1:10" ht="12.75" customHeight="1">
      <c r="A19" s="351" t="s">
        <v>57</v>
      </c>
      <c r="B19" s="341">
        <v>105</v>
      </c>
      <c r="C19" s="343">
        <v>5238</v>
      </c>
      <c r="D19" s="341">
        <v>0</v>
      </c>
      <c r="E19" s="343">
        <v>0</v>
      </c>
      <c r="F19" s="341">
        <v>105</v>
      </c>
      <c r="G19" s="343">
        <v>5238</v>
      </c>
      <c r="H19" s="122" t="s">
        <v>1316</v>
      </c>
      <c r="I19" s="122">
        <v>134.86</v>
      </c>
      <c r="J19" s="262"/>
    </row>
    <row r="20" spans="1:10" ht="12.75" customHeight="1">
      <c r="A20" s="351" t="s">
        <v>205</v>
      </c>
      <c r="B20" s="341">
        <v>10</v>
      </c>
      <c r="C20" s="343">
        <v>500</v>
      </c>
      <c r="D20" s="341">
        <v>0</v>
      </c>
      <c r="E20" s="343">
        <v>0</v>
      </c>
      <c r="F20" s="341">
        <v>10</v>
      </c>
      <c r="G20" s="343">
        <v>500</v>
      </c>
      <c r="H20" s="122" t="s">
        <v>1317</v>
      </c>
      <c r="I20" s="122">
        <v>220</v>
      </c>
      <c r="J20" s="262"/>
    </row>
    <row r="21" spans="1:10" ht="12.75" customHeight="1">
      <c r="A21" s="351" t="s">
        <v>208</v>
      </c>
      <c r="B21" s="341">
        <v>25</v>
      </c>
      <c r="C21" s="343">
        <v>1248.5</v>
      </c>
      <c r="D21" s="341">
        <v>0</v>
      </c>
      <c r="E21" s="343">
        <v>0</v>
      </c>
      <c r="F21" s="341">
        <v>25</v>
      </c>
      <c r="G21" s="343">
        <v>1248.5</v>
      </c>
      <c r="H21" s="122" t="s">
        <v>1318</v>
      </c>
      <c r="I21" s="122">
        <v>86.41</v>
      </c>
      <c r="J21" s="262"/>
    </row>
    <row r="22" spans="1:10" ht="12.75" customHeight="1">
      <c r="A22" s="351" t="s">
        <v>176</v>
      </c>
      <c r="B22" s="341"/>
      <c r="C22" s="343">
        <v>0</v>
      </c>
      <c r="D22" s="341">
        <v>55</v>
      </c>
      <c r="E22" s="343">
        <v>2745</v>
      </c>
      <c r="F22" s="341">
        <v>55</v>
      </c>
      <c r="G22" s="343">
        <v>2745</v>
      </c>
      <c r="H22" s="122" t="s">
        <v>1319</v>
      </c>
      <c r="I22" s="122">
        <v>155.01</v>
      </c>
      <c r="J22" s="262"/>
    </row>
    <row r="23" spans="1:10" ht="12.75" customHeight="1">
      <c r="A23" s="351" t="s">
        <v>475</v>
      </c>
      <c r="B23" s="341">
        <v>105</v>
      </c>
      <c r="C23" s="343">
        <v>5236.5</v>
      </c>
      <c r="D23" s="341">
        <v>0</v>
      </c>
      <c r="E23" s="343">
        <v>0</v>
      </c>
      <c r="F23" s="341">
        <v>105</v>
      </c>
      <c r="G23" s="343">
        <v>5236.5</v>
      </c>
      <c r="H23" s="122" t="s">
        <v>1320</v>
      </c>
      <c r="I23" s="122">
        <v>156.42</v>
      </c>
      <c r="J23" s="262"/>
    </row>
    <row r="24" spans="1:10" ht="12.75" customHeight="1">
      <c r="A24" s="351" t="s">
        <v>63</v>
      </c>
      <c r="B24" s="341">
        <v>10</v>
      </c>
      <c r="C24" s="343">
        <v>497</v>
      </c>
      <c r="D24" s="341">
        <v>0</v>
      </c>
      <c r="E24" s="343">
        <v>0</v>
      </c>
      <c r="F24" s="341">
        <v>10</v>
      </c>
      <c r="G24" s="343">
        <v>497</v>
      </c>
      <c r="H24" s="122" t="s">
        <v>1321</v>
      </c>
      <c r="I24" s="122">
        <v>225</v>
      </c>
      <c r="J24" s="262"/>
    </row>
    <row r="25" spans="1:10" ht="12.75" customHeight="1">
      <c r="A25" s="351" t="s">
        <v>329</v>
      </c>
      <c r="B25" s="341">
        <v>10</v>
      </c>
      <c r="C25" s="343">
        <v>497</v>
      </c>
      <c r="D25" s="341">
        <v>0</v>
      </c>
      <c r="E25" s="343">
        <v>0</v>
      </c>
      <c r="F25" s="341">
        <v>10</v>
      </c>
      <c r="G25" s="343">
        <v>497</v>
      </c>
      <c r="H25" s="122" t="s">
        <v>1271</v>
      </c>
      <c r="I25" s="122">
        <v>230</v>
      </c>
      <c r="J25" s="262"/>
    </row>
    <row r="26" spans="1:10" ht="12.75" customHeight="1">
      <c r="A26" s="351" t="s">
        <v>136</v>
      </c>
      <c r="B26" s="341">
        <v>15</v>
      </c>
      <c r="C26" s="343">
        <v>750</v>
      </c>
      <c r="D26" s="341">
        <v>0</v>
      </c>
      <c r="E26" s="343">
        <v>0</v>
      </c>
      <c r="F26" s="341">
        <v>15</v>
      </c>
      <c r="G26" s="343">
        <v>750</v>
      </c>
      <c r="H26" s="122">
        <v>88500</v>
      </c>
      <c r="I26" s="122">
        <v>118</v>
      </c>
      <c r="J26" s="262"/>
    </row>
    <row r="27" spans="1:10" ht="12.75" customHeight="1">
      <c r="A27" s="351" t="s">
        <v>67</v>
      </c>
      <c r="B27" s="341">
        <v>60</v>
      </c>
      <c r="C27" s="343">
        <v>2994</v>
      </c>
      <c r="D27" s="341">
        <v>40</v>
      </c>
      <c r="E27" s="343">
        <v>1996.8</v>
      </c>
      <c r="F27" s="341">
        <v>100</v>
      </c>
      <c r="G27" s="343">
        <v>4990.8</v>
      </c>
      <c r="H27" s="122" t="s">
        <v>1322</v>
      </c>
      <c r="I27" s="122">
        <v>139.91</v>
      </c>
      <c r="J27" s="262"/>
    </row>
    <row r="28" spans="1:10" ht="12.75" customHeight="1">
      <c r="A28" s="351" t="s">
        <v>71</v>
      </c>
      <c r="B28" s="341">
        <v>1453</v>
      </c>
      <c r="C28" s="343">
        <v>72525</v>
      </c>
      <c r="D28" s="341">
        <v>100</v>
      </c>
      <c r="E28" s="343">
        <v>4991.2</v>
      </c>
      <c r="F28" s="341">
        <v>1553</v>
      </c>
      <c r="G28" s="343">
        <v>77516.2</v>
      </c>
      <c r="H28" s="122" t="s">
        <v>1323</v>
      </c>
      <c r="I28" s="122">
        <v>133.44</v>
      </c>
      <c r="J28" s="262"/>
    </row>
    <row r="29" spans="1:10" ht="12.75" customHeight="1">
      <c r="A29" s="351" t="s">
        <v>1019</v>
      </c>
      <c r="B29" s="341"/>
      <c r="C29" s="343">
        <v>0</v>
      </c>
      <c r="D29" s="341">
        <v>70</v>
      </c>
      <c r="E29" s="343">
        <v>3492</v>
      </c>
      <c r="F29" s="341">
        <v>70</v>
      </c>
      <c r="G29" s="343">
        <v>3492</v>
      </c>
      <c r="H29" s="122" t="s">
        <v>1324</v>
      </c>
      <c r="I29" s="122">
        <v>169.91</v>
      </c>
      <c r="J29" s="262"/>
    </row>
    <row r="30" spans="1:10" ht="12.75" customHeight="1">
      <c r="A30" s="351" t="s">
        <v>73</v>
      </c>
      <c r="B30" s="341">
        <v>73</v>
      </c>
      <c r="C30" s="343">
        <v>3641</v>
      </c>
      <c r="D30" s="341">
        <v>0</v>
      </c>
      <c r="E30" s="343">
        <v>0</v>
      </c>
      <c r="F30" s="341">
        <v>73</v>
      </c>
      <c r="G30" s="343">
        <v>3641</v>
      </c>
      <c r="H30" s="122" t="s">
        <v>1325</v>
      </c>
      <c r="I30" s="122">
        <v>125.34</v>
      </c>
      <c r="J30" s="262"/>
    </row>
    <row r="31" spans="1:10" ht="12.75" customHeight="1">
      <c r="A31" s="351" t="s">
        <v>75</v>
      </c>
      <c r="B31" s="341">
        <v>75</v>
      </c>
      <c r="C31" s="343">
        <v>3742.5</v>
      </c>
      <c r="D31" s="341">
        <v>0</v>
      </c>
      <c r="E31" s="343">
        <v>0</v>
      </c>
      <c r="F31" s="341">
        <v>75</v>
      </c>
      <c r="G31" s="343">
        <v>3742.5</v>
      </c>
      <c r="H31" s="122">
        <v>444941.5</v>
      </c>
      <c r="I31" s="122">
        <v>118.88884435537742</v>
      </c>
      <c r="J31" s="262"/>
    </row>
    <row r="32" spans="1:10" ht="12.75" customHeight="1">
      <c r="A32" s="351" t="s">
        <v>77</v>
      </c>
      <c r="B32" s="341">
        <v>40</v>
      </c>
      <c r="C32" s="343">
        <v>1993.5</v>
      </c>
      <c r="D32" s="341">
        <v>20</v>
      </c>
      <c r="E32" s="343">
        <v>997.6</v>
      </c>
      <c r="F32" s="341">
        <v>60</v>
      </c>
      <c r="G32" s="343">
        <v>2991.1</v>
      </c>
      <c r="H32" s="122" t="s">
        <v>1326</v>
      </c>
      <c r="I32" s="122">
        <v>87.5</v>
      </c>
      <c r="J32" s="262"/>
    </row>
    <row r="33" spans="1:10" ht="12.75" customHeight="1">
      <c r="A33" s="351" t="s">
        <v>445</v>
      </c>
      <c r="B33" s="341">
        <v>10</v>
      </c>
      <c r="C33" s="343">
        <v>498.5</v>
      </c>
      <c r="D33" s="341">
        <v>0</v>
      </c>
      <c r="E33" s="343">
        <v>0</v>
      </c>
      <c r="F33" s="341">
        <v>10</v>
      </c>
      <c r="G33" s="343">
        <v>498.5</v>
      </c>
      <c r="H33" s="122">
        <v>32402.5</v>
      </c>
      <c r="I33" s="122">
        <v>65</v>
      </c>
      <c r="J33" s="262"/>
    </row>
    <row r="34" spans="1:10" ht="12.75" customHeight="1">
      <c r="A34" s="351" t="s">
        <v>882</v>
      </c>
      <c r="B34" s="341">
        <v>35</v>
      </c>
      <c r="C34" s="343">
        <v>1747</v>
      </c>
      <c r="D34" s="341">
        <v>0</v>
      </c>
      <c r="E34" s="343">
        <v>0</v>
      </c>
      <c r="F34" s="341">
        <v>35</v>
      </c>
      <c r="G34" s="343">
        <v>1747</v>
      </c>
      <c r="H34" s="122" t="s">
        <v>1327</v>
      </c>
      <c r="I34" s="122">
        <v>101.44</v>
      </c>
      <c r="J34" s="262"/>
    </row>
    <row r="35" spans="1:10" ht="12.75" customHeight="1">
      <c r="A35" s="351" t="s">
        <v>146</v>
      </c>
      <c r="B35" s="341">
        <v>80</v>
      </c>
      <c r="C35" s="343">
        <v>3988</v>
      </c>
      <c r="D35" s="341">
        <v>0</v>
      </c>
      <c r="E35" s="343">
        <v>0</v>
      </c>
      <c r="F35" s="341">
        <v>80</v>
      </c>
      <c r="G35" s="343">
        <v>3988</v>
      </c>
      <c r="H35" s="122" t="s">
        <v>1328</v>
      </c>
      <c r="I35" s="122">
        <v>132.72</v>
      </c>
      <c r="J35" s="262"/>
    </row>
    <row r="36" spans="1:10" ht="12.75" customHeight="1">
      <c r="A36" s="351" t="s">
        <v>1329</v>
      </c>
      <c r="B36" s="341">
        <v>10</v>
      </c>
      <c r="C36" s="343">
        <v>498.5</v>
      </c>
      <c r="D36" s="341">
        <v>0</v>
      </c>
      <c r="E36" s="343">
        <v>0</v>
      </c>
      <c r="F36" s="341">
        <v>10</v>
      </c>
      <c r="G36" s="343">
        <v>498.5</v>
      </c>
      <c r="H36" s="122">
        <v>47357.5</v>
      </c>
      <c r="I36" s="122">
        <v>95</v>
      </c>
      <c r="J36" s="262"/>
    </row>
    <row r="37" spans="1:10" ht="12.75" customHeight="1">
      <c r="A37" s="351" t="s">
        <v>83</v>
      </c>
      <c r="B37" s="341">
        <v>300</v>
      </c>
      <c r="C37" s="343">
        <v>14965.5</v>
      </c>
      <c r="D37" s="341">
        <v>45</v>
      </c>
      <c r="E37" s="343">
        <v>2243.9</v>
      </c>
      <c r="F37" s="341">
        <v>345</v>
      </c>
      <c r="G37" s="343">
        <v>17209.4</v>
      </c>
      <c r="H37" s="122" t="s">
        <v>1330</v>
      </c>
      <c r="I37" s="122">
        <v>139.27</v>
      </c>
      <c r="J37" s="262"/>
    </row>
    <row r="38" spans="1:10" ht="12.75" customHeight="1">
      <c r="A38" s="351" t="s">
        <v>85</v>
      </c>
      <c r="B38" s="341"/>
      <c r="C38" s="343">
        <v>0</v>
      </c>
      <c r="D38" s="341">
        <v>20</v>
      </c>
      <c r="E38" s="343">
        <v>998.4</v>
      </c>
      <c r="F38" s="341">
        <v>20</v>
      </c>
      <c r="G38" s="343">
        <v>998.4</v>
      </c>
      <c r="H38" s="122" t="s">
        <v>1331</v>
      </c>
      <c r="I38" s="122">
        <v>205.5</v>
      </c>
      <c r="J38" s="262"/>
    </row>
    <row r="39" spans="1:10" ht="12.75" customHeight="1">
      <c r="A39" s="351" t="s">
        <v>150</v>
      </c>
      <c r="B39" s="341">
        <v>132</v>
      </c>
      <c r="C39" s="343">
        <v>6493.5</v>
      </c>
      <c r="D39" s="341">
        <v>0</v>
      </c>
      <c r="E39" s="343">
        <v>0</v>
      </c>
      <c r="F39" s="341">
        <v>132</v>
      </c>
      <c r="G39" s="343">
        <v>6493.5</v>
      </c>
      <c r="H39" s="122" t="s">
        <v>1332</v>
      </c>
      <c r="I39" s="122">
        <v>87.33</v>
      </c>
      <c r="J39" s="262"/>
    </row>
    <row r="40" spans="1:10" ht="12.75" customHeight="1">
      <c r="A40" s="351" t="s">
        <v>92</v>
      </c>
      <c r="B40" s="341"/>
      <c r="C40" s="343">
        <v>0</v>
      </c>
      <c r="D40" s="341">
        <v>70</v>
      </c>
      <c r="E40" s="343">
        <v>3494.4</v>
      </c>
      <c r="F40" s="341">
        <v>70</v>
      </c>
      <c r="G40" s="343">
        <v>3494.4</v>
      </c>
      <c r="H40" s="122" t="s">
        <v>1333</v>
      </c>
      <c r="I40" s="122">
        <v>131.43</v>
      </c>
      <c r="J40" s="262"/>
    </row>
    <row r="41" spans="1:10" ht="12.75" customHeight="1">
      <c r="A41" s="351" t="s">
        <v>229</v>
      </c>
      <c r="B41" s="341">
        <v>20</v>
      </c>
      <c r="C41" s="343">
        <v>997</v>
      </c>
      <c r="D41" s="341">
        <v>0</v>
      </c>
      <c r="E41" s="343">
        <v>0</v>
      </c>
      <c r="F41" s="341">
        <v>20</v>
      </c>
      <c r="G41" s="343">
        <v>997</v>
      </c>
      <c r="H41" s="122">
        <v>64805</v>
      </c>
      <c r="I41" s="122">
        <v>65</v>
      </c>
      <c r="J41" s="262"/>
    </row>
    <row r="42" spans="1:10" ht="12.75" customHeight="1">
      <c r="A42" s="351" t="s">
        <v>187</v>
      </c>
      <c r="B42" s="341">
        <v>53</v>
      </c>
      <c r="C42" s="343">
        <v>2641</v>
      </c>
      <c r="D42" s="341">
        <v>0</v>
      </c>
      <c r="E42" s="343">
        <v>0</v>
      </c>
      <c r="F42" s="341">
        <v>53</v>
      </c>
      <c r="G42" s="343">
        <v>2641</v>
      </c>
      <c r="H42" s="122" t="s">
        <v>1334</v>
      </c>
      <c r="I42" s="122">
        <v>103.42</v>
      </c>
      <c r="J42" s="262"/>
    </row>
    <row r="43" spans="1:10" ht="12.75" customHeight="1">
      <c r="A43" s="351" t="s">
        <v>94</v>
      </c>
      <c r="B43" s="341">
        <v>190</v>
      </c>
      <c r="C43" s="343">
        <v>9482</v>
      </c>
      <c r="D43" s="341">
        <v>45</v>
      </c>
      <c r="E43" s="343">
        <v>2246.3</v>
      </c>
      <c r="F43" s="341">
        <v>235</v>
      </c>
      <c r="G43" s="343">
        <v>11728.3</v>
      </c>
      <c r="H43" s="122" t="s">
        <v>1335</v>
      </c>
      <c r="I43" s="122">
        <v>141.38</v>
      </c>
      <c r="J43" s="262"/>
    </row>
    <row r="44" spans="1:10" ht="12.75" customHeight="1">
      <c r="A44" s="351" t="s">
        <v>96</v>
      </c>
      <c r="B44" s="341">
        <v>40</v>
      </c>
      <c r="C44" s="343">
        <v>1994</v>
      </c>
      <c r="D44" s="341">
        <v>0</v>
      </c>
      <c r="E44" s="343">
        <v>0</v>
      </c>
      <c r="F44" s="341">
        <v>40</v>
      </c>
      <c r="G44" s="343">
        <v>1994</v>
      </c>
      <c r="H44" s="122" t="s">
        <v>1336</v>
      </c>
      <c r="I44" s="122">
        <v>91.01</v>
      </c>
      <c r="J44" s="262"/>
    </row>
    <row r="45" spans="1:10" ht="12.75" customHeight="1">
      <c r="A45" s="351" t="s">
        <v>1068</v>
      </c>
      <c r="B45" s="341">
        <v>165</v>
      </c>
      <c r="C45" s="343">
        <v>8221</v>
      </c>
      <c r="D45" s="341">
        <v>0</v>
      </c>
      <c r="E45" s="343">
        <v>0</v>
      </c>
      <c r="F45" s="341">
        <v>165</v>
      </c>
      <c r="G45" s="343">
        <v>8221</v>
      </c>
      <c r="H45" s="122" t="s">
        <v>1337</v>
      </c>
      <c r="I45" s="122">
        <v>118.66</v>
      </c>
      <c r="J45" s="262"/>
    </row>
    <row r="46" spans="1:10" ht="12.75" customHeight="1">
      <c r="A46" s="351" t="s">
        <v>98</v>
      </c>
      <c r="B46" s="341">
        <v>540</v>
      </c>
      <c r="C46" s="343">
        <v>26926.5</v>
      </c>
      <c r="D46" s="341">
        <v>0</v>
      </c>
      <c r="E46" s="343">
        <v>0</v>
      </c>
      <c r="F46" s="341">
        <v>540</v>
      </c>
      <c r="G46" s="343">
        <v>26926.5</v>
      </c>
      <c r="H46" s="122">
        <v>3977633</v>
      </c>
      <c r="I46" s="122">
        <v>147.72187250478154</v>
      </c>
      <c r="J46" s="262"/>
    </row>
    <row r="47" spans="1:10" ht="12.75" customHeight="1">
      <c r="A47" s="351" t="s">
        <v>237</v>
      </c>
      <c r="B47" s="341">
        <v>10</v>
      </c>
      <c r="C47" s="343">
        <v>498.5</v>
      </c>
      <c r="D47" s="341">
        <v>20</v>
      </c>
      <c r="E47" s="343">
        <v>997.6</v>
      </c>
      <c r="F47" s="341">
        <v>30</v>
      </c>
      <c r="G47" s="343">
        <v>1496.1</v>
      </c>
      <c r="H47" s="122" t="s">
        <v>1338</v>
      </c>
      <c r="I47" s="122">
        <v>115.67</v>
      </c>
      <c r="J47" s="262"/>
    </row>
    <row r="48" spans="1:10" ht="12.75" customHeight="1">
      <c r="A48" s="119" t="s">
        <v>99</v>
      </c>
      <c r="B48" s="362">
        <v>155</v>
      </c>
      <c r="C48" s="349">
        <v>7733.5</v>
      </c>
      <c r="D48" s="362">
        <v>0</v>
      </c>
      <c r="E48" s="121">
        <v>0</v>
      </c>
      <c r="F48" s="115">
        <v>155</v>
      </c>
      <c r="G48" s="121">
        <v>7733.5</v>
      </c>
      <c r="H48" s="122" t="s">
        <v>1339</v>
      </c>
      <c r="I48" s="122">
        <v>107.26</v>
      </c>
      <c r="J48" s="262"/>
    </row>
    <row r="49" spans="1:10" ht="12.75" customHeight="1">
      <c r="A49" s="119" t="s">
        <v>1340</v>
      </c>
      <c r="B49" s="362">
        <v>10</v>
      </c>
      <c r="C49" s="349">
        <v>495.5</v>
      </c>
      <c r="D49" s="362">
        <v>0</v>
      </c>
      <c r="E49" s="121">
        <v>0</v>
      </c>
      <c r="F49" s="115">
        <v>10</v>
      </c>
      <c r="G49" s="121">
        <v>495.5</v>
      </c>
      <c r="H49" s="122">
        <v>44595</v>
      </c>
      <c r="I49" s="122">
        <v>90</v>
      </c>
      <c r="J49" s="262"/>
    </row>
    <row r="50" spans="1:10" ht="12.75" customHeight="1">
      <c r="A50" s="119" t="s">
        <v>101</v>
      </c>
      <c r="B50" s="362">
        <v>130</v>
      </c>
      <c r="C50" s="349">
        <v>6482</v>
      </c>
      <c r="D50" s="362">
        <v>0</v>
      </c>
      <c r="E50" s="121">
        <v>0</v>
      </c>
      <c r="F50" s="115">
        <v>130</v>
      </c>
      <c r="G50" s="121">
        <v>6482</v>
      </c>
      <c r="H50" s="122" t="s">
        <v>1341</v>
      </c>
      <c r="I50" s="122">
        <v>88.93</v>
      </c>
      <c r="J50" s="262"/>
    </row>
    <row r="51" spans="1:10" ht="12.75" customHeight="1">
      <c r="A51" s="119" t="s">
        <v>14</v>
      </c>
      <c r="B51" s="114">
        <v>5088</v>
      </c>
      <c r="C51" s="349" t="s">
        <v>1342</v>
      </c>
      <c r="D51" s="362">
        <v>718</v>
      </c>
      <c r="E51" s="121">
        <v>35834.2</v>
      </c>
      <c r="F51" s="115">
        <v>5806</v>
      </c>
      <c r="G51" s="121" t="s">
        <v>1343</v>
      </c>
      <c r="H51" s="122" t="s">
        <v>1344</v>
      </c>
      <c r="I51" s="122">
        <v>133.46</v>
      </c>
      <c r="J51" s="262"/>
    </row>
    <row r="52" spans="1:10" ht="12.75" customHeight="1">
      <c r="A52" s="351"/>
      <c r="B52" s="341"/>
      <c r="C52" s="343"/>
      <c r="D52" s="341"/>
      <c r="E52" s="343"/>
      <c r="F52" s="341"/>
      <c r="G52" s="343"/>
      <c r="H52" s="122"/>
      <c r="I52" s="122"/>
      <c r="J52" s="262"/>
    </row>
    <row r="53" spans="1:9" ht="12.75" customHeight="1">
      <c r="A53" s="344"/>
      <c r="B53" s="355"/>
      <c r="C53" s="342"/>
      <c r="D53" s="355"/>
      <c r="E53" s="117"/>
      <c r="F53" s="356"/>
      <c r="G53" s="342" t="s">
        <v>119</v>
      </c>
      <c r="H53" s="118"/>
      <c r="I53" s="118"/>
    </row>
    <row r="54" spans="1:9" ht="12.75" customHeight="1">
      <c r="A54" s="344"/>
      <c r="B54" s="355"/>
      <c r="C54" s="342"/>
      <c r="D54" s="355"/>
      <c r="E54" s="117"/>
      <c r="F54" s="117"/>
      <c r="G54" s="359" t="s">
        <v>121</v>
      </c>
      <c r="H54" s="118"/>
      <c r="I54" s="118"/>
    </row>
    <row r="55" spans="1:9" ht="12.75" customHeight="1">
      <c r="A55" s="329" t="s">
        <v>117</v>
      </c>
      <c r="B55" s="355"/>
      <c r="C55" s="342"/>
      <c r="D55" s="355"/>
      <c r="E55" s="117"/>
      <c r="F55" s="355"/>
      <c r="G55" s="342"/>
      <c r="H55" s="118"/>
      <c r="I55" s="118"/>
    </row>
    <row r="56" spans="1:9" ht="12.75" customHeight="1">
      <c r="A56" s="329" t="s">
        <v>118</v>
      </c>
      <c r="B56" s="355"/>
      <c r="C56" s="342"/>
      <c r="D56" s="355"/>
      <c r="E56" s="117"/>
      <c r="F56" s="355"/>
      <c r="G56" s="342"/>
      <c r="H56" s="118"/>
      <c r="I56" s="118"/>
    </row>
    <row r="57" spans="1:9" ht="12.75" customHeight="1">
      <c r="A57" s="329" t="s">
        <v>120</v>
      </c>
      <c r="B57" s="355"/>
      <c r="C57" s="342"/>
      <c r="D57" s="355"/>
      <c r="E57" s="117"/>
      <c r="F57" s="355"/>
      <c r="G57" s="342"/>
      <c r="H57" s="118"/>
      <c r="I57" s="118"/>
    </row>
    <row r="58" spans="1:9" ht="12.75" customHeight="1">
      <c r="A58" s="329" t="s">
        <v>122</v>
      </c>
      <c r="B58" s="355"/>
      <c r="C58" s="342"/>
      <c r="D58" s="355"/>
      <c r="E58" s="117"/>
      <c r="F58" s="355"/>
      <c r="G58" s="342"/>
      <c r="H58" s="118"/>
      <c r="I58" s="118"/>
    </row>
    <row r="59" spans="1:9" ht="12.75" customHeight="1">
      <c r="A59" s="329" t="s">
        <v>123</v>
      </c>
      <c r="B59" s="355"/>
      <c r="C59" s="342"/>
      <c r="D59" s="355"/>
      <c r="E59" s="117"/>
      <c r="F59" s="355"/>
      <c r="G59" s="342"/>
      <c r="H59" s="118"/>
      <c r="I59" s="118"/>
    </row>
    <row r="60" spans="1:9" ht="12.75" customHeight="1">
      <c r="A60" s="114"/>
      <c r="B60" s="355"/>
      <c r="C60" s="342"/>
      <c r="D60" s="355"/>
      <c r="E60" s="117"/>
      <c r="F60" s="355"/>
      <c r="G60" s="342"/>
      <c r="H60" s="118"/>
      <c r="I60" s="118"/>
    </row>
    <row r="61" spans="1:9" ht="12.75" customHeight="1">
      <c r="A61" s="114"/>
      <c r="B61" s="355"/>
      <c r="C61" s="342"/>
      <c r="D61" s="355"/>
      <c r="E61" s="117"/>
      <c r="F61" s="355"/>
      <c r="G61" s="342"/>
      <c r="H61" s="118"/>
      <c r="I61" s="118"/>
    </row>
    <row r="62" spans="1:9" ht="12.75" customHeight="1">
      <c r="A62" s="114"/>
      <c r="B62" s="355"/>
      <c r="C62" s="342"/>
      <c r="D62" s="355"/>
      <c r="E62" s="117"/>
      <c r="F62" s="355"/>
      <c r="G62" s="342"/>
      <c r="H62" s="118"/>
      <c r="I62" s="118"/>
    </row>
    <row r="63" spans="1:9" ht="12.75" customHeight="1">
      <c r="A63" s="114"/>
      <c r="B63" s="355"/>
      <c r="C63" s="342"/>
      <c r="D63" s="355"/>
      <c r="E63" s="117"/>
      <c r="F63" s="355"/>
      <c r="G63" s="342"/>
      <c r="H63" s="118"/>
      <c r="I63" s="118"/>
    </row>
    <row r="64" spans="1:9" ht="12.75" customHeight="1">
      <c r="A64" s="114"/>
      <c r="B64" s="355"/>
      <c r="C64" s="342"/>
      <c r="D64" s="355"/>
      <c r="E64" s="117"/>
      <c r="F64" s="355"/>
      <c r="G64" s="342"/>
      <c r="H64" s="118"/>
      <c r="I64" s="118"/>
    </row>
    <row r="65" spans="1:9" ht="12.75" customHeight="1">
      <c r="A65" s="114"/>
      <c r="B65" s="355"/>
      <c r="C65" s="342"/>
      <c r="D65" s="355"/>
      <c r="E65" s="117"/>
      <c r="F65" s="355"/>
      <c r="G65" s="342"/>
      <c r="H65" s="118"/>
      <c r="I65" s="118"/>
    </row>
    <row r="66" ht="12.75" customHeight="1">
      <c r="A66" s="1"/>
    </row>
    <row r="67" spans="1:15" s="31" customFormat="1" ht="12.75" customHeight="1">
      <c r="A67" s="1"/>
      <c r="C67" s="360"/>
      <c r="E67" s="244"/>
      <c r="G67" s="360"/>
      <c r="H67" s="48"/>
      <c r="I67" s="48"/>
      <c r="J67" s="378"/>
      <c r="K67" s="378"/>
      <c r="L67" s="378"/>
      <c r="M67" s="378"/>
      <c r="N67" s="378"/>
      <c r="O67" s="378"/>
    </row>
    <row r="68" spans="1:15" s="31" customFormat="1" ht="12.75" customHeight="1">
      <c r="A68" s="1"/>
      <c r="C68" s="360"/>
      <c r="E68" s="244"/>
      <c r="G68" s="360"/>
      <c r="H68" s="48"/>
      <c r="I68" s="48"/>
      <c r="J68" s="378"/>
      <c r="K68" s="378"/>
      <c r="L68" s="378"/>
      <c r="M68" s="378"/>
      <c r="N68" s="378"/>
      <c r="O68" s="378"/>
    </row>
    <row r="69" spans="1:15" s="31" customFormat="1" ht="12.75" customHeight="1">
      <c r="A69" s="1"/>
      <c r="C69" s="360"/>
      <c r="E69" s="244"/>
      <c r="G69" s="360"/>
      <c r="H69" s="48"/>
      <c r="I69" s="48"/>
      <c r="J69" s="378"/>
      <c r="K69" s="378"/>
      <c r="L69" s="378"/>
      <c r="M69" s="378"/>
      <c r="N69" s="378"/>
      <c r="O69" s="378"/>
    </row>
    <row r="70" spans="1:15" s="31" customFormat="1" ht="12.75" customHeight="1">
      <c r="A70" s="1"/>
      <c r="C70" s="360"/>
      <c r="E70" s="244"/>
      <c r="G70" s="360"/>
      <c r="H70" s="48"/>
      <c r="I70" s="48"/>
      <c r="J70" s="378"/>
      <c r="K70" s="378"/>
      <c r="L70" s="378"/>
      <c r="M70" s="378"/>
      <c r="N70" s="378"/>
      <c r="O70" s="378"/>
    </row>
  </sheetData>
  <sheetProtection/>
  <printOptions/>
  <pageMargins left="0.7" right="0.7" top="0.83" bottom="0.5" header="0.3" footer="0.3"/>
  <pageSetup horizontalDpi="600" verticalDpi="600" orientation="portrait" scale="90" r:id="rId1"/>
  <headerFooter>
    <oddHeader>&amp;L&amp;D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6.8515625" style="378" customWidth="1"/>
    <col min="2" max="2" width="7.140625" style="31" customWidth="1"/>
    <col min="3" max="3" width="10.00390625" style="360" customWidth="1"/>
    <col min="4" max="4" width="6.28125" style="31" customWidth="1"/>
    <col min="5" max="5" width="9.7109375" style="244" customWidth="1"/>
    <col min="6" max="6" width="7.140625" style="31" customWidth="1"/>
    <col min="7" max="7" width="10.140625" style="360" customWidth="1"/>
    <col min="8" max="8" width="13.00390625" style="48" customWidth="1"/>
    <col min="9" max="9" width="9.7109375" style="48" customWidth="1"/>
    <col min="10" max="14" width="8.8515625" style="378" customWidth="1"/>
    <col min="15" max="15" width="12.7109375" style="378" bestFit="1" customWidth="1"/>
    <col min="16" max="16384" width="8.8515625" style="378" customWidth="1"/>
  </cols>
  <sheetData>
    <row r="1" spans="1:10" ht="12.75" customHeight="1">
      <c r="A1" s="329" t="s">
        <v>1276</v>
      </c>
      <c r="B1" s="330"/>
      <c r="C1" s="331"/>
      <c r="D1" s="330"/>
      <c r="E1" s="332"/>
      <c r="F1" s="330"/>
      <c r="G1" s="331"/>
      <c r="H1" s="333"/>
      <c r="I1" s="333"/>
      <c r="J1" s="262"/>
    </row>
    <row r="2" spans="1:10" ht="12.75" customHeight="1">
      <c r="A2" s="329" t="s">
        <v>1277</v>
      </c>
      <c r="B2" s="330"/>
      <c r="C2" s="331"/>
      <c r="D2" s="330"/>
      <c r="E2" s="332"/>
      <c r="F2" s="330"/>
      <c r="G2" s="331"/>
      <c r="H2" s="333"/>
      <c r="I2" s="333"/>
      <c r="J2" s="262"/>
    </row>
    <row r="3" spans="1:10" ht="12.75" customHeight="1">
      <c r="A3" s="329" t="s">
        <v>110</v>
      </c>
      <c r="B3" s="330"/>
      <c r="C3" s="331"/>
      <c r="D3" s="330"/>
      <c r="E3" s="332"/>
      <c r="F3" s="330"/>
      <c r="G3" s="331"/>
      <c r="H3" s="333"/>
      <c r="I3" s="333"/>
      <c r="J3" s="262"/>
    </row>
    <row r="4" spans="1:10" ht="12.75" customHeight="1">
      <c r="A4" s="329" t="s">
        <v>5</v>
      </c>
      <c r="B4" s="330"/>
      <c r="C4" s="331"/>
      <c r="D4" s="330"/>
      <c r="E4" s="332"/>
      <c r="F4" s="330"/>
      <c r="G4" s="331"/>
      <c r="H4" s="333"/>
      <c r="I4" s="333"/>
      <c r="J4" s="262"/>
    </row>
    <row r="5" spans="1:10" ht="12.75" customHeight="1">
      <c r="A5" s="329" t="s">
        <v>6</v>
      </c>
      <c r="B5" s="330"/>
      <c r="C5" s="331"/>
      <c r="D5" s="330"/>
      <c r="E5" s="334"/>
      <c r="F5" s="330"/>
      <c r="G5" s="331"/>
      <c r="H5" s="333"/>
      <c r="I5" s="333"/>
      <c r="J5" s="262"/>
    </row>
    <row r="6" spans="1:10" ht="12.75" customHeight="1">
      <c r="A6" s="329" t="s">
        <v>111</v>
      </c>
      <c r="B6" s="330"/>
      <c r="C6" s="331"/>
      <c r="D6" s="330"/>
      <c r="E6" s="332"/>
      <c r="F6" s="330"/>
      <c r="G6" s="331"/>
      <c r="H6" s="333"/>
      <c r="I6" s="333"/>
      <c r="J6" s="262"/>
    </row>
    <row r="7" spans="1:10" ht="12.75" customHeight="1">
      <c r="A7" s="329" t="s">
        <v>112</v>
      </c>
      <c r="B7" s="330"/>
      <c r="C7" s="331"/>
      <c r="D7" s="330"/>
      <c r="E7" s="335" t="s">
        <v>113</v>
      </c>
      <c r="F7" s="330"/>
      <c r="G7" s="331"/>
      <c r="H7" s="333"/>
      <c r="I7" s="333"/>
      <c r="J7" s="262"/>
    </row>
    <row r="8" spans="1:10" ht="12.75" customHeight="1">
      <c r="A8" s="336" t="s">
        <v>1278</v>
      </c>
      <c r="B8" s="337"/>
      <c r="C8" s="338"/>
      <c r="D8" s="337"/>
      <c r="E8" s="339"/>
      <c r="F8" s="337"/>
      <c r="G8" s="338"/>
      <c r="H8" s="340"/>
      <c r="I8" s="340"/>
      <c r="J8" s="262"/>
    </row>
    <row r="9" spans="1:10" ht="12.75" customHeight="1">
      <c r="A9" s="114"/>
      <c r="B9" s="341" t="s">
        <v>45</v>
      </c>
      <c r="C9" s="342"/>
      <c r="D9" s="341" t="s">
        <v>46</v>
      </c>
      <c r="E9" s="342"/>
      <c r="F9" s="341"/>
      <c r="G9" s="343" t="s">
        <v>47</v>
      </c>
      <c r="H9" s="118"/>
      <c r="I9" s="118"/>
      <c r="J9" s="262"/>
    </row>
    <row r="10" spans="1:10" ht="12.75" customHeight="1">
      <c r="A10" s="344" t="s">
        <v>461</v>
      </c>
      <c r="B10" s="345" t="s">
        <v>49</v>
      </c>
      <c r="C10" s="346" t="s">
        <v>50</v>
      </c>
      <c r="D10" s="345" t="s">
        <v>49</v>
      </c>
      <c r="E10" s="346" t="s">
        <v>50</v>
      </c>
      <c r="F10" s="345" t="s">
        <v>49</v>
      </c>
      <c r="G10" s="346" t="s">
        <v>50</v>
      </c>
      <c r="H10" s="347" t="s">
        <v>51</v>
      </c>
      <c r="I10" s="347" t="s">
        <v>52</v>
      </c>
      <c r="J10" s="262"/>
    </row>
    <row r="11" spans="1:10" ht="12.75" customHeight="1">
      <c r="A11" s="119" t="s">
        <v>466</v>
      </c>
      <c r="B11" s="348"/>
      <c r="C11" s="343">
        <v>0</v>
      </c>
      <c r="D11" s="115"/>
      <c r="E11" s="121"/>
      <c r="F11" s="115"/>
      <c r="G11" s="343"/>
      <c r="H11" s="122"/>
      <c r="I11" s="350"/>
      <c r="J11" s="262"/>
    </row>
    <row r="12" spans="1:10" ht="12.75" customHeight="1">
      <c r="A12" s="114" t="s">
        <v>14</v>
      </c>
      <c r="B12" s="122">
        <f aca="true" t="shared" si="0" ref="B12:H12">SUM(B11)</f>
        <v>0</v>
      </c>
      <c r="C12" s="343">
        <f t="shared" si="0"/>
        <v>0</v>
      </c>
      <c r="D12" s="341">
        <f t="shared" si="0"/>
        <v>0</v>
      </c>
      <c r="E12" s="343">
        <f t="shared" si="0"/>
        <v>0</v>
      </c>
      <c r="F12" s="341">
        <f t="shared" si="0"/>
        <v>0</v>
      </c>
      <c r="G12" s="343">
        <f t="shared" si="0"/>
        <v>0</v>
      </c>
      <c r="H12" s="122">
        <f t="shared" si="0"/>
        <v>0</v>
      </c>
      <c r="I12" s="122" t="e">
        <f>H12/G12</f>
        <v>#DIV/0!</v>
      </c>
      <c r="J12" s="262"/>
    </row>
    <row r="13" spans="1:10" ht="12.75" customHeight="1">
      <c r="A13" s="344" t="s">
        <v>462</v>
      </c>
      <c r="B13" s="345" t="s">
        <v>49</v>
      </c>
      <c r="C13" s="346" t="s">
        <v>50</v>
      </c>
      <c r="D13" s="345" t="s">
        <v>49</v>
      </c>
      <c r="E13" s="346" t="s">
        <v>50</v>
      </c>
      <c r="F13" s="345" t="s">
        <v>49</v>
      </c>
      <c r="G13" s="346" t="s">
        <v>50</v>
      </c>
      <c r="H13" s="347" t="s">
        <v>51</v>
      </c>
      <c r="I13" s="347" t="s">
        <v>52</v>
      </c>
      <c r="J13" s="262"/>
    </row>
    <row r="14" spans="1:10" ht="12.75" customHeight="1">
      <c r="A14" s="119" t="s">
        <v>319</v>
      </c>
      <c r="B14" s="362">
        <v>10</v>
      </c>
      <c r="C14" s="349">
        <v>495.5</v>
      </c>
      <c r="D14" s="362">
        <v>0</v>
      </c>
      <c r="E14" s="121">
        <v>0</v>
      </c>
      <c r="F14" s="115">
        <v>10</v>
      </c>
      <c r="G14" s="121">
        <v>495.5</v>
      </c>
      <c r="H14" s="122">
        <v>39640</v>
      </c>
      <c r="I14" s="122">
        <v>80</v>
      </c>
      <c r="J14" s="262"/>
    </row>
    <row r="15" spans="1:10" ht="12.75" customHeight="1">
      <c r="A15" s="119" t="s">
        <v>53</v>
      </c>
      <c r="B15" s="362">
        <v>400</v>
      </c>
      <c r="C15" s="349">
        <v>19959.5</v>
      </c>
      <c r="D15" s="362">
        <v>30</v>
      </c>
      <c r="E15" s="121">
        <v>1497.6</v>
      </c>
      <c r="F15" s="115">
        <v>430</v>
      </c>
      <c r="G15" s="121">
        <v>21457.1</v>
      </c>
      <c r="H15" s="122" t="s">
        <v>1279</v>
      </c>
      <c r="I15" s="122">
        <v>153.74</v>
      </c>
      <c r="J15" s="262"/>
    </row>
    <row r="16" spans="1:10" ht="12.75" customHeight="1">
      <c r="A16" s="119" t="s">
        <v>572</v>
      </c>
      <c r="B16" s="362">
        <v>80</v>
      </c>
      <c r="C16" s="349">
        <v>3994</v>
      </c>
      <c r="D16" s="362">
        <v>0</v>
      </c>
      <c r="E16" s="121">
        <v>0</v>
      </c>
      <c r="F16" s="115">
        <v>80</v>
      </c>
      <c r="G16" s="121">
        <v>3994</v>
      </c>
      <c r="H16" s="122" t="s">
        <v>1280</v>
      </c>
      <c r="I16" s="122">
        <v>160.64</v>
      </c>
      <c r="J16" s="262"/>
    </row>
    <row r="17" spans="1:10" ht="12.75" customHeight="1">
      <c r="A17" s="119" t="s">
        <v>469</v>
      </c>
      <c r="B17" s="114"/>
      <c r="C17" s="349">
        <v>0</v>
      </c>
      <c r="D17" s="362">
        <v>20</v>
      </c>
      <c r="E17" s="121">
        <v>997.6</v>
      </c>
      <c r="F17" s="115">
        <v>20</v>
      </c>
      <c r="G17" s="121">
        <v>997.6</v>
      </c>
      <c r="H17" s="122" t="s">
        <v>1281</v>
      </c>
      <c r="I17" s="122">
        <v>157.22</v>
      </c>
      <c r="J17" s="262"/>
    </row>
    <row r="18" spans="1:10" ht="12.75" customHeight="1">
      <c r="A18" s="119" t="s">
        <v>171</v>
      </c>
      <c r="B18" s="362">
        <v>10</v>
      </c>
      <c r="C18" s="349">
        <v>500</v>
      </c>
      <c r="D18" s="362">
        <v>25</v>
      </c>
      <c r="E18" s="121">
        <v>1246.8</v>
      </c>
      <c r="F18" s="115">
        <v>35</v>
      </c>
      <c r="G18" s="121">
        <v>1746.8</v>
      </c>
      <c r="H18" s="122" t="s">
        <v>1282</v>
      </c>
      <c r="I18" s="122">
        <v>176.18</v>
      </c>
      <c r="J18" s="262"/>
    </row>
    <row r="19" spans="1:10" ht="12.75" customHeight="1">
      <c r="A19" s="119" t="s">
        <v>173</v>
      </c>
      <c r="B19" s="114"/>
      <c r="C19" s="349">
        <v>0</v>
      </c>
      <c r="D19" s="362">
        <v>10</v>
      </c>
      <c r="E19" s="121">
        <v>499.2</v>
      </c>
      <c r="F19" s="115">
        <v>10</v>
      </c>
      <c r="G19" s="121">
        <v>499.2</v>
      </c>
      <c r="H19" s="122">
        <v>82368</v>
      </c>
      <c r="I19" s="122">
        <v>165</v>
      </c>
      <c r="J19" s="262"/>
    </row>
    <row r="20" spans="1:10" ht="12.75" customHeight="1">
      <c r="A20" s="119" t="s">
        <v>640</v>
      </c>
      <c r="B20" s="114"/>
      <c r="C20" s="349">
        <v>0</v>
      </c>
      <c r="D20" s="362">
        <v>10</v>
      </c>
      <c r="E20" s="121">
        <v>499.2</v>
      </c>
      <c r="F20" s="115">
        <v>10</v>
      </c>
      <c r="G20" s="121">
        <v>499.2</v>
      </c>
      <c r="H20" s="122" t="s">
        <v>1283</v>
      </c>
      <c r="I20" s="122">
        <v>226</v>
      </c>
      <c r="J20" s="262"/>
    </row>
    <row r="21" spans="1:10" ht="12.75" customHeight="1">
      <c r="A21" s="119" t="s">
        <v>57</v>
      </c>
      <c r="B21" s="362">
        <v>90</v>
      </c>
      <c r="C21" s="349">
        <v>4476</v>
      </c>
      <c r="D21" s="362">
        <v>0</v>
      </c>
      <c r="E21" s="121">
        <v>0</v>
      </c>
      <c r="F21" s="115">
        <v>90</v>
      </c>
      <c r="G21" s="121">
        <v>4476</v>
      </c>
      <c r="H21" s="122" t="s">
        <v>1284</v>
      </c>
      <c r="I21" s="122">
        <v>148.55</v>
      </c>
      <c r="J21" s="262"/>
    </row>
    <row r="22" spans="1:10" ht="12.75" customHeight="1">
      <c r="A22" s="119" t="s">
        <v>205</v>
      </c>
      <c r="B22" s="362">
        <v>50</v>
      </c>
      <c r="C22" s="349">
        <v>2494</v>
      </c>
      <c r="D22" s="362">
        <v>0</v>
      </c>
      <c r="E22" s="121">
        <v>0</v>
      </c>
      <c r="F22" s="115">
        <v>50</v>
      </c>
      <c r="G22" s="121">
        <v>2494</v>
      </c>
      <c r="H22" s="122" t="s">
        <v>1285</v>
      </c>
      <c r="I22" s="122">
        <v>91.6</v>
      </c>
      <c r="J22" s="262"/>
    </row>
    <row r="23" spans="1:10" ht="12.75" customHeight="1">
      <c r="A23" s="119" t="s">
        <v>130</v>
      </c>
      <c r="B23" s="362">
        <v>20</v>
      </c>
      <c r="C23" s="349">
        <v>997</v>
      </c>
      <c r="D23" s="362">
        <v>0</v>
      </c>
      <c r="E23" s="121">
        <v>0</v>
      </c>
      <c r="F23" s="115">
        <v>20</v>
      </c>
      <c r="G23" s="121">
        <v>997</v>
      </c>
      <c r="H23" s="122" t="s">
        <v>260</v>
      </c>
      <c r="I23" s="122">
        <v>110</v>
      </c>
      <c r="J23" s="262"/>
    </row>
    <row r="24" spans="1:10" ht="12.75" customHeight="1">
      <c r="A24" s="119" t="s">
        <v>475</v>
      </c>
      <c r="B24" s="362">
        <v>140</v>
      </c>
      <c r="C24" s="349">
        <v>6989.5</v>
      </c>
      <c r="D24" s="362">
        <v>0</v>
      </c>
      <c r="E24" s="121">
        <v>0</v>
      </c>
      <c r="F24" s="115">
        <v>140</v>
      </c>
      <c r="G24" s="121">
        <v>6989.5</v>
      </c>
      <c r="H24" s="122" t="s">
        <v>1286</v>
      </c>
      <c r="I24" s="122">
        <v>172.96</v>
      </c>
      <c r="J24" s="262"/>
    </row>
    <row r="25" spans="1:10" ht="12.75" customHeight="1">
      <c r="A25" s="119" t="s">
        <v>61</v>
      </c>
      <c r="B25" s="362">
        <v>55</v>
      </c>
      <c r="C25" s="349">
        <v>2744</v>
      </c>
      <c r="D25" s="362">
        <v>0</v>
      </c>
      <c r="E25" s="121">
        <v>0</v>
      </c>
      <c r="F25" s="115">
        <v>55</v>
      </c>
      <c r="G25" s="121">
        <v>2744</v>
      </c>
      <c r="H25" s="122" t="s">
        <v>1287</v>
      </c>
      <c r="I25" s="122">
        <v>151.4</v>
      </c>
      <c r="J25" s="262"/>
    </row>
    <row r="26" spans="1:10" ht="12.75" customHeight="1">
      <c r="A26" s="119" t="s">
        <v>63</v>
      </c>
      <c r="B26" s="362">
        <v>40</v>
      </c>
      <c r="C26" s="349">
        <v>1994</v>
      </c>
      <c r="D26" s="362">
        <v>0</v>
      </c>
      <c r="E26" s="121">
        <v>0</v>
      </c>
      <c r="F26" s="115">
        <v>40</v>
      </c>
      <c r="G26" s="121">
        <v>1994</v>
      </c>
      <c r="H26" s="122" t="s">
        <v>1288</v>
      </c>
      <c r="I26" s="122">
        <v>231.25</v>
      </c>
      <c r="J26" s="262"/>
    </row>
    <row r="27" spans="1:10" ht="12.75" customHeight="1">
      <c r="A27" s="119" t="s">
        <v>329</v>
      </c>
      <c r="B27" s="362">
        <v>20</v>
      </c>
      <c r="C27" s="349">
        <v>997</v>
      </c>
      <c r="D27" s="362">
        <v>0</v>
      </c>
      <c r="E27" s="121">
        <v>0</v>
      </c>
      <c r="F27" s="115">
        <v>20</v>
      </c>
      <c r="G27" s="121">
        <v>997</v>
      </c>
      <c r="H27" s="122" t="s">
        <v>1289</v>
      </c>
      <c r="I27" s="122">
        <v>177.5</v>
      </c>
      <c r="J27" s="262"/>
    </row>
    <row r="28" spans="1:10" ht="12.75" customHeight="1">
      <c r="A28" s="119" t="s">
        <v>136</v>
      </c>
      <c r="B28" s="362">
        <v>10</v>
      </c>
      <c r="C28" s="349">
        <v>498.5</v>
      </c>
      <c r="D28" s="362">
        <v>0</v>
      </c>
      <c r="E28" s="121">
        <v>0</v>
      </c>
      <c r="F28" s="115">
        <v>10</v>
      </c>
      <c r="G28" s="121">
        <v>498.5</v>
      </c>
      <c r="H28" s="122" t="s">
        <v>435</v>
      </c>
      <c r="I28" s="122">
        <v>247</v>
      </c>
      <c r="J28" s="262"/>
    </row>
    <row r="29" spans="1:10" ht="12.75" customHeight="1">
      <c r="A29" s="119" t="s">
        <v>67</v>
      </c>
      <c r="B29" s="362">
        <v>335</v>
      </c>
      <c r="C29" s="349">
        <v>16724.5</v>
      </c>
      <c r="D29" s="362">
        <v>50</v>
      </c>
      <c r="E29" s="121">
        <v>2496</v>
      </c>
      <c r="F29" s="115">
        <v>385</v>
      </c>
      <c r="G29" s="121">
        <v>19220.5</v>
      </c>
      <c r="H29" s="122" t="s">
        <v>1290</v>
      </c>
      <c r="I29" s="122">
        <v>163.72</v>
      </c>
      <c r="J29" s="262"/>
    </row>
    <row r="30" spans="1:10" ht="12.75" customHeight="1">
      <c r="A30" s="119" t="s">
        <v>71</v>
      </c>
      <c r="B30" s="363">
        <v>1580</v>
      </c>
      <c r="C30" s="349">
        <v>78874.5</v>
      </c>
      <c r="D30" s="362">
        <v>225</v>
      </c>
      <c r="E30" s="121">
        <v>11228.7</v>
      </c>
      <c r="F30" s="115">
        <v>1805</v>
      </c>
      <c r="G30" s="121">
        <v>90103.2</v>
      </c>
      <c r="H30" s="122" t="s">
        <v>1291</v>
      </c>
      <c r="I30" s="122">
        <v>153.43</v>
      </c>
      <c r="J30" s="262"/>
    </row>
    <row r="31" spans="1:10" ht="12.75" customHeight="1">
      <c r="A31" s="119" t="s">
        <v>1019</v>
      </c>
      <c r="B31" s="362">
        <v>20</v>
      </c>
      <c r="C31" s="349">
        <v>997</v>
      </c>
      <c r="D31" s="362">
        <v>40</v>
      </c>
      <c r="E31" s="121">
        <v>1996</v>
      </c>
      <c r="F31" s="115">
        <v>60</v>
      </c>
      <c r="G31" s="121">
        <v>2993</v>
      </c>
      <c r="H31" s="122" t="s">
        <v>1292</v>
      </c>
      <c r="I31" s="122">
        <v>171.42</v>
      </c>
      <c r="J31" s="262"/>
    </row>
    <row r="32" spans="1:10" ht="12.75" customHeight="1">
      <c r="A32" s="119" t="s">
        <v>73</v>
      </c>
      <c r="B32" s="362">
        <v>190</v>
      </c>
      <c r="C32" s="349">
        <v>9482</v>
      </c>
      <c r="D32" s="362">
        <v>0</v>
      </c>
      <c r="E32" s="121">
        <v>0</v>
      </c>
      <c r="F32" s="115">
        <v>190</v>
      </c>
      <c r="G32" s="121">
        <v>9482</v>
      </c>
      <c r="H32" s="122" t="s">
        <v>1293</v>
      </c>
      <c r="I32" s="122">
        <v>116.25</v>
      </c>
      <c r="J32" s="262"/>
    </row>
    <row r="33" spans="1:10" ht="12.75" customHeight="1">
      <c r="A33" s="119" t="s">
        <v>75</v>
      </c>
      <c r="B33" s="362">
        <v>1</v>
      </c>
      <c r="C33" s="349">
        <v>12</v>
      </c>
      <c r="D33" s="362">
        <v>10</v>
      </c>
      <c r="E33" s="121">
        <v>498.4</v>
      </c>
      <c r="F33" s="115">
        <v>11</v>
      </c>
      <c r="G33" s="121">
        <v>510.4</v>
      </c>
      <c r="H33" s="122" t="s">
        <v>1294</v>
      </c>
      <c r="I33" s="122">
        <v>221.25</v>
      </c>
      <c r="J33" s="262"/>
    </row>
    <row r="34" spans="1:10" ht="12.75" customHeight="1">
      <c r="A34" s="119" t="s">
        <v>77</v>
      </c>
      <c r="B34" s="362">
        <v>10</v>
      </c>
      <c r="C34" s="349">
        <v>498.5</v>
      </c>
      <c r="D34" s="362">
        <v>10</v>
      </c>
      <c r="E34" s="121">
        <v>499.2</v>
      </c>
      <c r="F34" s="115">
        <v>20</v>
      </c>
      <c r="G34" s="121">
        <v>997.7</v>
      </c>
      <c r="H34" s="122" t="s">
        <v>1295</v>
      </c>
      <c r="I34" s="122">
        <v>190.02</v>
      </c>
      <c r="J34" s="262"/>
    </row>
    <row r="35" spans="1:10" ht="12.75" customHeight="1">
      <c r="A35" s="119" t="s">
        <v>221</v>
      </c>
      <c r="B35" s="362">
        <v>65</v>
      </c>
      <c r="C35" s="349">
        <v>3244</v>
      </c>
      <c r="D35" s="362">
        <v>0</v>
      </c>
      <c r="E35" s="121">
        <v>0</v>
      </c>
      <c r="F35" s="115">
        <v>65</v>
      </c>
      <c r="G35" s="121">
        <v>3244</v>
      </c>
      <c r="H35" s="122" t="s">
        <v>1296</v>
      </c>
      <c r="I35" s="122">
        <v>150</v>
      </c>
      <c r="J35" s="262"/>
    </row>
    <row r="36" spans="1:10" ht="12.75" customHeight="1">
      <c r="A36" s="119" t="s">
        <v>81</v>
      </c>
      <c r="B36" s="362">
        <v>20</v>
      </c>
      <c r="C36" s="349">
        <v>997</v>
      </c>
      <c r="D36" s="362">
        <v>0</v>
      </c>
      <c r="E36" s="121">
        <v>0</v>
      </c>
      <c r="F36" s="115">
        <v>20</v>
      </c>
      <c r="G36" s="121">
        <v>997</v>
      </c>
      <c r="H36" s="122" t="s">
        <v>884</v>
      </c>
      <c r="I36" s="122">
        <v>106</v>
      </c>
      <c r="J36" s="262"/>
    </row>
    <row r="37" spans="1:10" ht="12.75" customHeight="1">
      <c r="A37" s="119" t="s">
        <v>83</v>
      </c>
      <c r="B37" s="362">
        <v>315</v>
      </c>
      <c r="C37" s="349">
        <v>15721.5</v>
      </c>
      <c r="D37" s="362">
        <v>40</v>
      </c>
      <c r="E37" s="121">
        <v>1996.3</v>
      </c>
      <c r="F37" s="115">
        <v>355</v>
      </c>
      <c r="G37" s="121">
        <v>17717.8</v>
      </c>
      <c r="H37" s="122" t="s">
        <v>1297</v>
      </c>
      <c r="I37" s="122">
        <v>144.29</v>
      </c>
      <c r="J37" s="262"/>
    </row>
    <row r="38" spans="1:10" ht="12.75" customHeight="1">
      <c r="A38" s="119" t="s">
        <v>85</v>
      </c>
      <c r="B38" s="362">
        <v>10</v>
      </c>
      <c r="C38" s="349">
        <v>498.5</v>
      </c>
      <c r="D38" s="362">
        <v>0</v>
      </c>
      <c r="E38" s="121">
        <v>0</v>
      </c>
      <c r="F38" s="115">
        <v>10</v>
      </c>
      <c r="G38" s="121">
        <v>498.5</v>
      </c>
      <c r="H38" s="122">
        <v>55333.5</v>
      </c>
      <c r="I38" s="122">
        <v>111</v>
      </c>
      <c r="J38" s="262"/>
    </row>
    <row r="39" spans="1:10" ht="12.75" customHeight="1">
      <c r="A39" s="119" t="s">
        <v>226</v>
      </c>
      <c r="B39" s="114"/>
      <c r="C39" s="349">
        <v>0</v>
      </c>
      <c r="D39" s="362">
        <v>65</v>
      </c>
      <c r="E39" s="121">
        <v>3244.4</v>
      </c>
      <c r="F39" s="115">
        <v>65</v>
      </c>
      <c r="G39" s="121">
        <v>3244.4</v>
      </c>
      <c r="H39" s="122" t="s">
        <v>1298</v>
      </c>
      <c r="I39" s="122">
        <v>138</v>
      </c>
      <c r="J39" s="262"/>
    </row>
    <row r="40" spans="1:10" ht="12.75" customHeight="1">
      <c r="A40" s="119" t="s">
        <v>92</v>
      </c>
      <c r="B40" s="114"/>
      <c r="C40" s="349">
        <v>0</v>
      </c>
      <c r="D40" s="362">
        <v>55</v>
      </c>
      <c r="E40" s="121">
        <v>2745.2</v>
      </c>
      <c r="F40" s="115">
        <v>55</v>
      </c>
      <c r="G40" s="121">
        <v>2745.2</v>
      </c>
      <c r="H40" s="122" t="s">
        <v>1299</v>
      </c>
      <c r="I40" s="122">
        <v>168.27</v>
      </c>
      <c r="J40" s="262"/>
    </row>
    <row r="41" spans="1:10" ht="12.75" customHeight="1">
      <c r="A41" s="119" t="s">
        <v>94</v>
      </c>
      <c r="B41" s="362">
        <v>155</v>
      </c>
      <c r="C41" s="349">
        <v>7736.5</v>
      </c>
      <c r="D41" s="362">
        <v>50</v>
      </c>
      <c r="E41" s="121">
        <v>2495.8</v>
      </c>
      <c r="F41" s="115">
        <v>205</v>
      </c>
      <c r="G41" s="121">
        <v>10232.3</v>
      </c>
      <c r="H41" s="122" t="s">
        <v>1300</v>
      </c>
      <c r="I41" s="122">
        <v>159.84</v>
      </c>
      <c r="J41" s="262"/>
    </row>
    <row r="42" spans="1:10" ht="12.75" customHeight="1">
      <c r="A42" s="119" t="s">
        <v>1068</v>
      </c>
      <c r="B42" s="362">
        <v>155</v>
      </c>
      <c r="C42" s="349">
        <v>7727.5</v>
      </c>
      <c r="D42" s="362">
        <v>0</v>
      </c>
      <c r="E42" s="121">
        <v>0</v>
      </c>
      <c r="F42" s="115">
        <v>155</v>
      </c>
      <c r="G42" s="121">
        <v>7727.5</v>
      </c>
      <c r="H42" s="122" t="s">
        <v>1301</v>
      </c>
      <c r="I42" s="122">
        <v>122.87</v>
      </c>
      <c r="J42" s="262"/>
    </row>
    <row r="43" spans="1:10" ht="12.75" customHeight="1">
      <c r="A43" s="119" t="s">
        <v>98</v>
      </c>
      <c r="B43" s="362">
        <v>260</v>
      </c>
      <c r="C43" s="349">
        <v>12964</v>
      </c>
      <c r="D43" s="362">
        <v>0</v>
      </c>
      <c r="E43" s="121">
        <v>0</v>
      </c>
      <c r="F43" s="115">
        <v>260</v>
      </c>
      <c r="G43" s="121">
        <v>12964</v>
      </c>
      <c r="H43" s="122">
        <v>2188672.5</v>
      </c>
      <c r="I43" s="122">
        <v>168.82694384449243</v>
      </c>
      <c r="J43" s="262"/>
    </row>
    <row r="44" spans="1:10" ht="12.75" customHeight="1">
      <c r="A44" s="119" t="s">
        <v>237</v>
      </c>
      <c r="B44" s="362">
        <v>40</v>
      </c>
      <c r="C44" s="349">
        <v>1998.5</v>
      </c>
      <c r="D44" s="362">
        <v>20</v>
      </c>
      <c r="E44" s="121">
        <v>997.6</v>
      </c>
      <c r="F44" s="115">
        <v>60</v>
      </c>
      <c r="G44" s="121">
        <v>2996.1</v>
      </c>
      <c r="H44" s="122" t="s">
        <v>1302</v>
      </c>
      <c r="I44" s="122">
        <v>169.58</v>
      </c>
      <c r="J44" s="262"/>
    </row>
    <row r="45" spans="1:10" ht="12.75" customHeight="1">
      <c r="A45" s="119" t="s">
        <v>99</v>
      </c>
      <c r="B45" s="362">
        <v>70</v>
      </c>
      <c r="C45" s="349">
        <v>3488</v>
      </c>
      <c r="D45" s="362">
        <v>0</v>
      </c>
      <c r="E45" s="121">
        <v>0</v>
      </c>
      <c r="F45" s="115">
        <v>70</v>
      </c>
      <c r="G45" s="121">
        <v>3488</v>
      </c>
      <c r="H45" s="122" t="s">
        <v>1303</v>
      </c>
      <c r="I45" s="122">
        <v>127.96</v>
      </c>
      <c r="J45" s="262"/>
    </row>
    <row r="46" spans="1:10" ht="12.75" customHeight="1">
      <c r="A46" s="119" t="s">
        <v>552</v>
      </c>
      <c r="B46" s="362">
        <v>20</v>
      </c>
      <c r="C46" s="349">
        <v>1000</v>
      </c>
      <c r="D46" s="362">
        <v>0</v>
      </c>
      <c r="E46" s="121">
        <v>0</v>
      </c>
      <c r="F46" s="115">
        <v>20</v>
      </c>
      <c r="G46" s="121">
        <v>1000</v>
      </c>
      <c r="H46" s="122" t="s">
        <v>1304</v>
      </c>
      <c r="I46" s="122">
        <v>185</v>
      </c>
      <c r="J46" s="262"/>
    </row>
    <row r="47" spans="1:10" ht="12.75" customHeight="1">
      <c r="A47" s="119" t="s">
        <v>14</v>
      </c>
      <c r="B47" s="363">
        <v>4171</v>
      </c>
      <c r="C47" s="343" t="s">
        <v>1305</v>
      </c>
      <c r="D47" s="362">
        <v>660</v>
      </c>
      <c r="E47" s="121">
        <v>32938</v>
      </c>
      <c r="F47" s="115">
        <v>4831</v>
      </c>
      <c r="G47" s="343" t="s">
        <v>1306</v>
      </c>
      <c r="H47" s="122" t="s">
        <v>1307</v>
      </c>
      <c r="I47" s="122">
        <v>153.27</v>
      </c>
      <c r="J47" s="262"/>
    </row>
    <row r="48" spans="1:10" ht="12.75" customHeight="1">
      <c r="A48" s="351"/>
      <c r="B48" s="341"/>
      <c r="C48" s="343"/>
      <c r="D48" s="341"/>
      <c r="E48" s="343"/>
      <c r="F48" s="341"/>
      <c r="G48" s="343"/>
      <c r="H48" s="122"/>
      <c r="I48" s="122"/>
      <c r="J48" s="262"/>
    </row>
    <row r="49" spans="1:9" ht="12.75" customHeight="1">
      <c r="A49" s="344"/>
      <c r="B49" s="355"/>
      <c r="C49" s="342"/>
      <c r="D49" s="355"/>
      <c r="E49" s="117"/>
      <c r="F49" s="356"/>
      <c r="G49" s="342" t="s">
        <v>119</v>
      </c>
      <c r="H49" s="118"/>
      <c r="I49" s="118"/>
    </row>
    <row r="50" spans="1:9" ht="12.75" customHeight="1">
      <c r="A50" s="344"/>
      <c r="B50" s="355"/>
      <c r="C50" s="342"/>
      <c r="D50" s="355"/>
      <c r="E50" s="117"/>
      <c r="F50" s="117"/>
      <c r="G50" s="359" t="s">
        <v>121</v>
      </c>
      <c r="H50" s="118"/>
      <c r="I50" s="118"/>
    </row>
    <row r="51" spans="1:9" ht="12.75" customHeight="1">
      <c r="A51" s="329" t="s">
        <v>117</v>
      </c>
      <c r="B51" s="355"/>
      <c r="C51" s="342"/>
      <c r="D51" s="355"/>
      <c r="E51" s="117"/>
      <c r="F51" s="355"/>
      <c r="G51" s="342"/>
      <c r="H51" s="118"/>
      <c r="I51" s="118"/>
    </row>
    <row r="52" spans="1:9" ht="12.75" customHeight="1">
      <c r="A52" s="329" t="s">
        <v>118</v>
      </c>
      <c r="B52" s="355"/>
      <c r="C52" s="342"/>
      <c r="D52" s="355"/>
      <c r="E52" s="117"/>
      <c r="F52" s="355"/>
      <c r="G52" s="342"/>
      <c r="H52" s="118"/>
      <c r="I52" s="118"/>
    </row>
    <row r="53" spans="1:9" ht="12.75" customHeight="1">
      <c r="A53" s="329" t="s">
        <v>120</v>
      </c>
      <c r="B53" s="355"/>
      <c r="C53" s="342"/>
      <c r="D53" s="355"/>
      <c r="E53" s="117"/>
      <c r="F53" s="355"/>
      <c r="G53" s="342"/>
      <c r="H53" s="118"/>
      <c r="I53" s="118"/>
    </row>
    <row r="54" spans="1:9" ht="12.75" customHeight="1">
      <c r="A54" s="329" t="s">
        <v>122</v>
      </c>
      <c r="B54" s="355"/>
      <c r="C54" s="342"/>
      <c r="D54" s="355"/>
      <c r="E54" s="117"/>
      <c r="F54" s="355"/>
      <c r="G54" s="342"/>
      <c r="H54" s="118"/>
      <c r="I54" s="118"/>
    </row>
    <row r="55" spans="1:9" ht="12.75" customHeight="1">
      <c r="A55" s="329" t="s">
        <v>123</v>
      </c>
      <c r="B55" s="355"/>
      <c r="C55" s="342"/>
      <c r="D55" s="355"/>
      <c r="E55" s="117"/>
      <c r="F55" s="355"/>
      <c r="G55" s="342"/>
      <c r="H55" s="118"/>
      <c r="I55" s="118"/>
    </row>
    <row r="56" spans="1:9" ht="12.75" customHeight="1">
      <c r="A56" s="114"/>
      <c r="B56" s="355"/>
      <c r="C56" s="342"/>
      <c r="D56" s="355"/>
      <c r="E56" s="117"/>
      <c r="F56" s="355"/>
      <c r="G56" s="342"/>
      <c r="H56" s="118"/>
      <c r="I56" s="118"/>
    </row>
    <row r="57" spans="1:9" ht="12.75" customHeight="1">
      <c r="A57" s="114"/>
      <c r="B57" s="355"/>
      <c r="C57" s="342"/>
      <c r="D57" s="355"/>
      <c r="E57" s="117"/>
      <c r="F57" s="355"/>
      <c r="G57" s="342"/>
      <c r="H57" s="118"/>
      <c r="I57" s="118"/>
    </row>
    <row r="58" spans="1:9" ht="12.75" customHeight="1">
      <c r="A58" s="114"/>
      <c r="B58" s="355"/>
      <c r="C58" s="342"/>
      <c r="D58" s="355"/>
      <c r="E58" s="117"/>
      <c r="F58" s="355"/>
      <c r="G58" s="342"/>
      <c r="H58" s="118"/>
      <c r="I58" s="118"/>
    </row>
    <row r="59" spans="1:9" ht="12.75" customHeight="1">
      <c r="A59" s="114"/>
      <c r="B59" s="355"/>
      <c r="C59" s="342"/>
      <c r="D59" s="355"/>
      <c r="E59" s="117"/>
      <c r="F59" s="355"/>
      <c r="G59" s="342"/>
      <c r="H59" s="118"/>
      <c r="I59" s="118"/>
    </row>
    <row r="60" spans="1:9" ht="12.75" customHeight="1">
      <c r="A60" s="114"/>
      <c r="B60" s="355"/>
      <c r="C60" s="342"/>
      <c r="D60" s="355"/>
      <c r="E60" s="117"/>
      <c r="F60" s="355"/>
      <c r="G60" s="342"/>
      <c r="H60" s="118"/>
      <c r="I60" s="118"/>
    </row>
    <row r="61" spans="1:9" ht="12.75" customHeight="1">
      <c r="A61" s="114"/>
      <c r="B61" s="355"/>
      <c r="C61" s="342"/>
      <c r="D61" s="355"/>
      <c r="E61" s="117"/>
      <c r="F61" s="355"/>
      <c r="G61" s="342"/>
      <c r="H61" s="118"/>
      <c r="I61" s="118"/>
    </row>
    <row r="62" ht="12.75" customHeight="1">
      <c r="A62" s="1"/>
    </row>
    <row r="63" spans="1:15" s="31" customFormat="1" ht="12.75" customHeight="1">
      <c r="A63" s="1"/>
      <c r="C63" s="360"/>
      <c r="E63" s="244"/>
      <c r="G63" s="360"/>
      <c r="H63" s="48"/>
      <c r="I63" s="48"/>
      <c r="J63" s="378"/>
      <c r="K63" s="378"/>
      <c r="L63" s="378"/>
      <c r="M63" s="378"/>
      <c r="N63" s="378"/>
      <c r="O63" s="378"/>
    </row>
    <row r="64" spans="1:15" s="31" customFormat="1" ht="12.75" customHeight="1">
      <c r="A64" s="1"/>
      <c r="C64" s="360"/>
      <c r="E64" s="244"/>
      <c r="G64" s="360"/>
      <c r="H64" s="48"/>
      <c r="I64" s="48"/>
      <c r="J64" s="378"/>
      <c r="K64" s="378"/>
      <c r="L64" s="378"/>
      <c r="M64" s="378"/>
      <c r="N64" s="378"/>
      <c r="O64" s="378"/>
    </row>
    <row r="65" spans="1:15" s="31" customFormat="1" ht="12.75" customHeight="1">
      <c r="A65" s="1"/>
      <c r="C65" s="360"/>
      <c r="E65" s="244"/>
      <c r="G65" s="360"/>
      <c r="H65" s="48"/>
      <c r="I65" s="48"/>
      <c r="J65" s="378"/>
      <c r="K65" s="378"/>
      <c r="L65" s="378"/>
      <c r="M65" s="378"/>
      <c r="N65" s="378"/>
      <c r="O65" s="378"/>
    </row>
    <row r="66" spans="1:15" s="31" customFormat="1" ht="12.75" customHeight="1">
      <c r="A66" s="1"/>
      <c r="C66" s="360"/>
      <c r="E66" s="244"/>
      <c r="G66" s="360"/>
      <c r="H66" s="48"/>
      <c r="I66" s="48"/>
      <c r="J66" s="378"/>
      <c r="K66" s="378"/>
      <c r="L66" s="378"/>
      <c r="M66" s="378"/>
      <c r="N66" s="378"/>
      <c r="O66" s="378"/>
    </row>
  </sheetData>
  <sheetProtection/>
  <printOptions/>
  <pageMargins left="0.7" right="0.7" top="0.83" bottom="0.5" header="0.3" footer="0.3"/>
  <pageSetup horizontalDpi="600" verticalDpi="600" orientation="portrait" scale="90" r:id="rId1"/>
  <headerFooter>
    <oddHeader>&amp;L&amp;D&amp;RProduce Brokers Limited
1349/A, North Agrabad,
D. T. Road, Askerabad (1st Floor),
Chattogram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6.8515625" style="378" customWidth="1"/>
    <col min="2" max="2" width="7.140625" style="31" customWidth="1"/>
    <col min="3" max="3" width="9.140625" style="360" customWidth="1"/>
    <col min="4" max="4" width="6.28125" style="31" customWidth="1"/>
    <col min="5" max="5" width="9.00390625" style="244" customWidth="1"/>
    <col min="6" max="6" width="7.140625" style="31" customWidth="1"/>
    <col min="7" max="7" width="10.140625" style="360" customWidth="1"/>
    <col min="8" max="8" width="12.28125" style="360" customWidth="1"/>
    <col min="9" max="9" width="9.7109375" style="48" customWidth="1"/>
    <col min="10" max="14" width="8.8515625" style="378" customWidth="1"/>
    <col min="15" max="15" width="12.7109375" style="378" bestFit="1" customWidth="1"/>
    <col min="16" max="16384" width="8.8515625" style="378" customWidth="1"/>
  </cols>
  <sheetData>
    <row r="1" spans="1:10" ht="15" customHeight="1">
      <c r="A1" s="329" t="s">
        <v>1273</v>
      </c>
      <c r="B1" s="330"/>
      <c r="C1" s="331"/>
      <c r="D1" s="330"/>
      <c r="E1" s="332"/>
      <c r="F1" s="330"/>
      <c r="G1" s="331"/>
      <c r="H1" s="331"/>
      <c r="I1" s="333"/>
      <c r="J1" s="262"/>
    </row>
    <row r="2" spans="1:10" ht="15" customHeight="1">
      <c r="A2" s="329" t="s">
        <v>1274</v>
      </c>
      <c r="B2" s="330"/>
      <c r="C2" s="331"/>
      <c r="D2" s="330"/>
      <c r="E2" s="332"/>
      <c r="F2" s="330"/>
      <c r="G2" s="331"/>
      <c r="H2" s="331"/>
      <c r="I2" s="333"/>
      <c r="J2" s="262"/>
    </row>
    <row r="3" spans="1:10" ht="15" customHeight="1">
      <c r="A3" s="329" t="s">
        <v>110</v>
      </c>
      <c r="B3" s="330"/>
      <c r="C3" s="331"/>
      <c r="D3" s="330"/>
      <c r="E3" s="332"/>
      <c r="F3" s="330"/>
      <c r="G3" s="331"/>
      <c r="H3" s="331"/>
      <c r="I3" s="333"/>
      <c r="J3" s="262"/>
    </row>
    <row r="4" spans="1:10" ht="15" customHeight="1">
      <c r="A4" s="329" t="s">
        <v>5</v>
      </c>
      <c r="B4" s="330"/>
      <c r="C4" s="331"/>
      <c r="D4" s="330"/>
      <c r="E4" s="332"/>
      <c r="F4" s="330"/>
      <c r="G4" s="331"/>
      <c r="H4" s="331"/>
      <c r="I4" s="333"/>
      <c r="J4" s="262"/>
    </row>
    <row r="5" spans="1:10" ht="15" customHeight="1">
      <c r="A5" s="329" t="s">
        <v>6</v>
      </c>
      <c r="B5" s="330"/>
      <c r="C5" s="331"/>
      <c r="D5" s="330"/>
      <c r="E5" s="334"/>
      <c r="F5" s="330"/>
      <c r="G5" s="331"/>
      <c r="H5" s="331"/>
      <c r="I5" s="333"/>
      <c r="J5" s="262"/>
    </row>
    <row r="6" spans="1:10" ht="15" customHeight="1">
      <c r="A6" s="329" t="s">
        <v>111</v>
      </c>
      <c r="B6" s="330"/>
      <c r="C6" s="331"/>
      <c r="D6" s="330"/>
      <c r="E6" s="332"/>
      <c r="F6" s="330"/>
      <c r="G6" s="331"/>
      <c r="H6" s="331"/>
      <c r="I6" s="333"/>
      <c r="J6" s="262"/>
    </row>
    <row r="7" spans="1:10" ht="15" customHeight="1">
      <c r="A7" s="329" t="s">
        <v>112</v>
      </c>
      <c r="B7" s="330"/>
      <c r="C7" s="331"/>
      <c r="D7" s="330"/>
      <c r="E7" s="335" t="s">
        <v>113</v>
      </c>
      <c r="F7" s="330"/>
      <c r="G7" s="331"/>
      <c r="H7" s="331"/>
      <c r="I7" s="333"/>
      <c r="J7" s="262"/>
    </row>
    <row r="8" spans="1:10" ht="15" customHeight="1">
      <c r="A8" s="336" t="s">
        <v>1275</v>
      </c>
      <c r="B8" s="337"/>
      <c r="C8" s="338"/>
      <c r="D8" s="337"/>
      <c r="E8" s="339"/>
      <c r="F8" s="337"/>
      <c r="G8" s="338"/>
      <c r="H8" s="338"/>
      <c r="I8" s="340"/>
      <c r="J8" s="262"/>
    </row>
    <row r="9" spans="1:10" ht="15" customHeight="1">
      <c r="A9" s="114"/>
      <c r="B9" s="341" t="s">
        <v>45</v>
      </c>
      <c r="C9" s="342"/>
      <c r="D9" s="341" t="s">
        <v>46</v>
      </c>
      <c r="E9" s="342"/>
      <c r="F9" s="341"/>
      <c r="G9" s="343" t="s">
        <v>47</v>
      </c>
      <c r="H9" s="342"/>
      <c r="I9" s="118"/>
      <c r="J9" s="262"/>
    </row>
    <row r="10" spans="1:10" ht="15" customHeight="1">
      <c r="A10" s="344" t="s">
        <v>461</v>
      </c>
      <c r="B10" s="345" t="s">
        <v>49</v>
      </c>
      <c r="C10" s="346" t="s">
        <v>50</v>
      </c>
      <c r="D10" s="345" t="s">
        <v>49</v>
      </c>
      <c r="E10" s="346" t="s">
        <v>50</v>
      </c>
      <c r="F10" s="345" t="s">
        <v>49</v>
      </c>
      <c r="G10" s="346" t="s">
        <v>50</v>
      </c>
      <c r="H10" s="346" t="s">
        <v>51</v>
      </c>
      <c r="I10" s="347" t="s">
        <v>52</v>
      </c>
      <c r="J10" s="262"/>
    </row>
    <row r="11" spans="1:10" ht="15" customHeight="1">
      <c r="A11" s="119" t="s">
        <v>466</v>
      </c>
      <c r="B11" s="348"/>
      <c r="C11" s="343">
        <v>0</v>
      </c>
      <c r="D11" s="115"/>
      <c r="E11" s="121"/>
      <c r="F11" s="115"/>
      <c r="G11" s="343"/>
      <c r="H11" s="343"/>
      <c r="I11" s="350"/>
      <c r="J11" s="262"/>
    </row>
    <row r="12" spans="1:10" ht="15" customHeight="1">
      <c r="A12" s="114" t="s">
        <v>14</v>
      </c>
      <c r="B12" s="122">
        <f aca="true" t="shared" si="0" ref="B12:H12">SUM(B11)</f>
        <v>0</v>
      </c>
      <c r="C12" s="343">
        <f t="shared" si="0"/>
        <v>0</v>
      </c>
      <c r="D12" s="341">
        <f t="shared" si="0"/>
        <v>0</v>
      </c>
      <c r="E12" s="343">
        <f t="shared" si="0"/>
        <v>0</v>
      </c>
      <c r="F12" s="341">
        <f t="shared" si="0"/>
        <v>0</v>
      </c>
      <c r="G12" s="343">
        <f t="shared" si="0"/>
        <v>0</v>
      </c>
      <c r="H12" s="343">
        <f t="shared" si="0"/>
        <v>0</v>
      </c>
      <c r="I12" s="122" t="e">
        <f>H12/G12</f>
        <v>#DIV/0!</v>
      </c>
      <c r="J12" s="262"/>
    </row>
    <row r="13" spans="1:10" ht="15" customHeight="1">
      <c r="A13" s="344" t="s">
        <v>462</v>
      </c>
      <c r="B13" s="345" t="s">
        <v>49</v>
      </c>
      <c r="C13" s="346" t="s">
        <v>50</v>
      </c>
      <c r="D13" s="345" t="s">
        <v>49</v>
      </c>
      <c r="E13" s="346" t="s">
        <v>50</v>
      </c>
      <c r="F13" s="345" t="s">
        <v>49</v>
      </c>
      <c r="G13" s="346" t="s">
        <v>50</v>
      </c>
      <c r="H13" s="346" t="s">
        <v>51</v>
      </c>
      <c r="I13" s="347" t="s">
        <v>52</v>
      </c>
      <c r="J13" s="262"/>
    </row>
    <row r="14" spans="1:10" ht="15" customHeight="1">
      <c r="A14" s="119" t="s">
        <v>319</v>
      </c>
      <c r="B14" s="362">
        <v>10</v>
      </c>
      <c r="C14" s="349">
        <v>498.5</v>
      </c>
      <c r="D14" s="362">
        <v>0</v>
      </c>
      <c r="E14" s="121">
        <v>0</v>
      </c>
      <c r="F14" s="362">
        <v>10</v>
      </c>
      <c r="G14" s="121">
        <v>498.5</v>
      </c>
      <c r="H14" s="122">
        <v>67297.5</v>
      </c>
      <c r="I14" s="122">
        <v>135</v>
      </c>
      <c r="J14" s="262"/>
    </row>
    <row r="15" spans="1:10" ht="15" customHeight="1">
      <c r="A15" s="119" t="s">
        <v>53</v>
      </c>
      <c r="B15" s="362">
        <v>110</v>
      </c>
      <c r="C15" s="349">
        <v>5489.5</v>
      </c>
      <c r="D15" s="362">
        <v>0</v>
      </c>
      <c r="E15" s="121">
        <v>0</v>
      </c>
      <c r="F15" s="362">
        <v>110</v>
      </c>
      <c r="G15" s="121">
        <v>5489.5</v>
      </c>
      <c r="H15" s="122" t="s">
        <v>1265</v>
      </c>
      <c r="I15" s="122">
        <v>155.81</v>
      </c>
      <c r="J15" s="262"/>
    </row>
    <row r="16" spans="1:10" ht="15" customHeight="1">
      <c r="A16" s="119" t="s">
        <v>469</v>
      </c>
      <c r="B16" s="114"/>
      <c r="C16" s="349">
        <v>0</v>
      </c>
      <c r="D16" s="362">
        <v>30</v>
      </c>
      <c r="E16" s="121">
        <v>1497.6</v>
      </c>
      <c r="F16" s="362">
        <v>30</v>
      </c>
      <c r="G16" s="121">
        <v>1497.6</v>
      </c>
      <c r="H16" s="122" t="s">
        <v>1266</v>
      </c>
      <c r="I16" s="122">
        <v>130.33</v>
      </c>
      <c r="J16" s="262"/>
    </row>
    <row r="17" spans="1:10" ht="15" customHeight="1">
      <c r="A17" s="119" t="s">
        <v>205</v>
      </c>
      <c r="B17" s="362">
        <v>20</v>
      </c>
      <c r="C17" s="349">
        <v>998.5</v>
      </c>
      <c r="D17" s="362">
        <v>0</v>
      </c>
      <c r="E17" s="121">
        <v>0</v>
      </c>
      <c r="F17" s="362">
        <v>20</v>
      </c>
      <c r="G17" s="121">
        <v>998.5</v>
      </c>
      <c r="H17" s="122">
        <v>99850</v>
      </c>
      <c r="I17" s="122">
        <v>100</v>
      </c>
      <c r="J17" s="262"/>
    </row>
    <row r="18" spans="1:10" ht="15" customHeight="1">
      <c r="A18" s="119" t="s">
        <v>71</v>
      </c>
      <c r="B18" s="362">
        <v>140</v>
      </c>
      <c r="C18" s="349">
        <v>6989.5</v>
      </c>
      <c r="D18" s="362">
        <v>20</v>
      </c>
      <c r="E18" s="121">
        <v>998.4</v>
      </c>
      <c r="F18" s="362">
        <v>160</v>
      </c>
      <c r="G18" s="121">
        <v>7987.9</v>
      </c>
      <c r="H18" s="122" t="s">
        <v>1267</v>
      </c>
      <c r="I18" s="122">
        <v>144.31</v>
      </c>
      <c r="J18" s="262"/>
    </row>
    <row r="19" spans="1:10" ht="15" customHeight="1">
      <c r="A19" s="119" t="s">
        <v>1019</v>
      </c>
      <c r="B19" s="114"/>
      <c r="C19" s="349">
        <v>0</v>
      </c>
      <c r="D19" s="362">
        <v>10</v>
      </c>
      <c r="E19" s="121">
        <v>499.2</v>
      </c>
      <c r="F19" s="362">
        <v>10</v>
      </c>
      <c r="G19" s="121">
        <v>499.2</v>
      </c>
      <c r="H19" s="122">
        <v>44928</v>
      </c>
      <c r="I19" s="122">
        <v>90</v>
      </c>
      <c r="J19" s="262"/>
    </row>
    <row r="20" spans="1:10" ht="15" customHeight="1">
      <c r="A20" s="119" t="s">
        <v>75</v>
      </c>
      <c r="B20" s="114"/>
      <c r="C20" s="349">
        <v>0</v>
      </c>
      <c r="D20" s="362">
        <v>10</v>
      </c>
      <c r="E20" s="121">
        <v>499.2</v>
      </c>
      <c r="F20" s="362">
        <v>10</v>
      </c>
      <c r="G20" s="121">
        <v>499.2</v>
      </c>
      <c r="H20" s="122" t="s">
        <v>1268</v>
      </c>
      <c r="I20" s="122">
        <v>210</v>
      </c>
      <c r="J20" s="262"/>
    </row>
    <row r="21" spans="1:10" ht="15" customHeight="1">
      <c r="A21" s="119" t="s">
        <v>79</v>
      </c>
      <c r="B21" s="114"/>
      <c r="C21" s="349">
        <v>0</v>
      </c>
      <c r="D21" s="362">
        <v>20</v>
      </c>
      <c r="E21" s="121">
        <v>996.2</v>
      </c>
      <c r="F21" s="362">
        <v>20</v>
      </c>
      <c r="G21" s="121">
        <v>996.2</v>
      </c>
      <c r="H21" s="122" t="s">
        <v>1269</v>
      </c>
      <c r="I21" s="122">
        <v>120.06</v>
      </c>
      <c r="J21" s="262"/>
    </row>
    <row r="22" spans="1:10" ht="15" customHeight="1">
      <c r="A22" s="119" t="s">
        <v>83</v>
      </c>
      <c r="B22" s="114"/>
      <c r="C22" s="349">
        <v>0</v>
      </c>
      <c r="D22" s="362">
        <v>5</v>
      </c>
      <c r="E22" s="121">
        <v>249.5</v>
      </c>
      <c r="F22" s="362">
        <v>5</v>
      </c>
      <c r="G22" s="121">
        <v>249.5</v>
      </c>
      <c r="H22" s="122">
        <v>44411</v>
      </c>
      <c r="I22" s="122">
        <v>178</v>
      </c>
      <c r="J22" s="262"/>
    </row>
    <row r="23" spans="1:10" ht="15" customHeight="1">
      <c r="A23" s="119" t="s">
        <v>150</v>
      </c>
      <c r="B23" s="362">
        <v>20</v>
      </c>
      <c r="C23" s="349">
        <v>997</v>
      </c>
      <c r="D23" s="362">
        <v>0</v>
      </c>
      <c r="E23" s="121">
        <v>0</v>
      </c>
      <c r="F23" s="362">
        <v>20</v>
      </c>
      <c r="G23" s="121">
        <v>997</v>
      </c>
      <c r="H23" s="122">
        <v>84745</v>
      </c>
      <c r="I23" s="122">
        <v>85</v>
      </c>
      <c r="J23" s="262"/>
    </row>
    <row r="24" spans="1:10" ht="15" customHeight="1">
      <c r="A24" s="119" t="s">
        <v>92</v>
      </c>
      <c r="B24" s="114"/>
      <c r="C24" s="349">
        <v>0</v>
      </c>
      <c r="D24" s="362">
        <v>10</v>
      </c>
      <c r="E24" s="121">
        <v>497.7</v>
      </c>
      <c r="F24" s="362">
        <v>10</v>
      </c>
      <c r="G24" s="121">
        <v>497.7</v>
      </c>
      <c r="H24" s="122">
        <v>34839</v>
      </c>
      <c r="I24" s="122">
        <v>70</v>
      </c>
      <c r="J24" s="262"/>
    </row>
    <row r="25" spans="1:10" ht="15" customHeight="1">
      <c r="A25" s="119" t="s">
        <v>229</v>
      </c>
      <c r="B25" s="362">
        <v>10</v>
      </c>
      <c r="C25" s="349">
        <v>498.5</v>
      </c>
      <c r="D25" s="362">
        <v>0</v>
      </c>
      <c r="E25" s="121">
        <v>0</v>
      </c>
      <c r="F25" s="362">
        <v>10</v>
      </c>
      <c r="G25" s="121">
        <v>498.5</v>
      </c>
      <c r="H25" s="122">
        <v>62312.5</v>
      </c>
      <c r="I25" s="122">
        <v>125</v>
      </c>
      <c r="J25" s="262"/>
    </row>
    <row r="26" spans="1:10" ht="15" customHeight="1">
      <c r="A26" s="119" t="s">
        <v>94</v>
      </c>
      <c r="B26" s="114"/>
      <c r="C26" s="349">
        <v>0</v>
      </c>
      <c r="D26" s="362">
        <v>54</v>
      </c>
      <c r="E26" s="121">
        <v>2692.7</v>
      </c>
      <c r="F26" s="362">
        <v>54</v>
      </c>
      <c r="G26" s="121">
        <v>2692.7</v>
      </c>
      <c r="H26" s="122" t="s">
        <v>1270</v>
      </c>
      <c r="I26" s="122">
        <v>190.79</v>
      </c>
      <c r="J26" s="262"/>
    </row>
    <row r="27" spans="1:10" ht="15" customHeight="1">
      <c r="A27" s="119" t="s">
        <v>190</v>
      </c>
      <c r="B27" s="114"/>
      <c r="C27" s="349">
        <v>0</v>
      </c>
      <c r="D27" s="362">
        <v>10</v>
      </c>
      <c r="E27" s="121">
        <v>497.6</v>
      </c>
      <c r="F27" s="362">
        <v>10</v>
      </c>
      <c r="G27" s="121">
        <v>497.6</v>
      </c>
      <c r="H27" s="122">
        <v>34832</v>
      </c>
      <c r="I27" s="122">
        <v>70</v>
      </c>
      <c r="J27" s="262"/>
    </row>
    <row r="28" spans="1:10" ht="15" customHeight="1">
      <c r="A28" s="119" t="s">
        <v>98</v>
      </c>
      <c r="B28" s="362">
        <v>10</v>
      </c>
      <c r="C28" s="349">
        <v>497</v>
      </c>
      <c r="D28" s="362">
        <v>0</v>
      </c>
      <c r="E28" s="121">
        <v>0</v>
      </c>
      <c r="F28" s="362">
        <v>10</v>
      </c>
      <c r="G28" s="121">
        <v>497</v>
      </c>
      <c r="H28" s="122" t="s">
        <v>1271</v>
      </c>
      <c r="I28" s="122">
        <v>230</v>
      </c>
      <c r="J28" s="262"/>
    </row>
    <row r="29" spans="1:10" ht="15" customHeight="1">
      <c r="A29" s="119" t="s">
        <v>99</v>
      </c>
      <c r="B29" s="114">
        <v>20</v>
      </c>
      <c r="C29" s="349">
        <v>997</v>
      </c>
      <c r="D29" s="362">
        <v>10</v>
      </c>
      <c r="E29" s="121">
        <v>499.2</v>
      </c>
      <c r="F29" s="362">
        <f>B29+D29</f>
        <v>30</v>
      </c>
      <c r="G29" s="121">
        <f>C29+E29</f>
        <v>1496.2</v>
      </c>
      <c r="H29" s="122">
        <f>103334.4+97207.5</f>
        <v>200541.9</v>
      </c>
      <c r="I29" s="122">
        <f>H29/G29</f>
        <v>134.03415318807646</v>
      </c>
      <c r="J29" s="262"/>
    </row>
    <row r="30" spans="1:10" ht="15" customHeight="1">
      <c r="A30" s="119" t="s">
        <v>101</v>
      </c>
      <c r="B30" s="362">
        <v>2</v>
      </c>
      <c r="C30" s="349">
        <v>18</v>
      </c>
      <c r="D30" s="362">
        <v>0</v>
      </c>
      <c r="E30" s="121">
        <v>0</v>
      </c>
      <c r="F30" s="362">
        <v>2</v>
      </c>
      <c r="G30" s="121">
        <v>18</v>
      </c>
      <c r="H30" s="122">
        <v>25560</v>
      </c>
      <c r="I30" s="122">
        <v>1420</v>
      </c>
      <c r="J30" s="262"/>
    </row>
    <row r="31" spans="1:10" ht="15" customHeight="1">
      <c r="A31" s="119" t="s">
        <v>14</v>
      </c>
      <c r="B31" s="362">
        <v>342</v>
      </c>
      <c r="C31" s="349">
        <v>16983.5</v>
      </c>
      <c r="D31" s="362">
        <v>179</v>
      </c>
      <c r="E31" s="121">
        <v>8927.3</v>
      </c>
      <c r="F31" s="362">
        <v>521</v>
      </c>
      <c r="G31" s="121">
        <v>25910.8</v>
      </c>
      <c r="H31" s="122" t="s">
        <v>1272</v>
      </c>
      <c r="I31" s="122">
        <v>144.92</v>
      </c>
      <c r="J31" s="262"/>
    </row>
    <row r="32" spans="1:10" ht="15" customHeight="1">
      <c r="A32" s="351"/>
      <c r="B32" s="341"/>
      <c r="C32" s="343"/>
      <c r="D32" s="341"/>
      <c r="E32" s="343"/>
      <c r="F32" s="341"/>
      <c r="G32" s="343"/>
      <c r="H32" s="343"/>
      <c r="I32" s="122"/>
      <c r="J32" s="262"/>
    </row>
    <row r="33" spans="1:9" ht="15" customHeight="1">
      <c r="A33" s="344"/>
      <c r="B33" s="355"/>
      <c r="C33" s="342"/>
      <c r="D33" s="355"/>
      <c r="E33" s="117"/>
      <c r="F33" s="356"/>
      <c r="G33" s="342" t="s">
        <v>119</v>
      </c>
      <c r="H33" s="342"/>
      <c r="I33" s="118"/>
    </row>
    <row r="34" spans="1:9" ht="15" customHeight="1">
      <c r="A34" s="344"/>
      <c r="B34" s="355"/>
      <c r="C34" s="342"/>
      <c r="D34" s="355"/>
      <c r="E34" s="117"/>
      <c r="F34" s="117"/>
      <c r="G34" s="359" t="s">
        <v>121</v>
      </c>
      <c r="H34" s="342"/>
      <c r="I34" s="118"/>
    </row>
    <row r="35" spans="1:9" ht="15" customHeight="1">
      <c r="A35" s="329" t="s">
        <v>117</v>
      </c>
      <c r="B35" s="355"/>
      <c r="C35" s="342"/>
      <c r="D35" s="355"/>
      <c r="E35" s="117"/>
      <c r="F35" s="355"/>
      <c r="G35" s="342"/>
      <c r="H35" s="342"/>
      <c r="I35" s="118"/>
    </row>
    <row r="36" spans="1:9" ht="15" customHeight="1">
      <c r="A36" s="329" t="s">
        <v>118</v>
      </c>
      <c r="B36" s="355"/>
      <c r="C36" s="342"/>
      <c r="D36" s="355"/>
      <c r="E36" s="117"/>
      <c r="F36" s="355"/>
      <c r="G36" s="342"/>
      <c r="H36" s="342"/>
      <c r="I36" s="118"/>
    </row>
    <row r="37" spans="1:9" ht="15" customHeight="1">
      <c r="A37" s="329" t="s">
        <v>120</v>
      </c>
      <c r="B37" s="355"/>
      <c r="C37" s="342"/>
      <c r="D37" s="355"/>
      <c r="E37" s="117"/>
      <c r="F37" s="355"/>
      <c r="G37" s="342"/>
      <c r="H37" s="342"/>
      <c r="I37" s="118"/>
    </row>
    <row r="38" spans="1:9" ht="15" customHeight="1">
      <c r="A38" s="329" t="s">
        <v>122</v>
      </c>
      <c r="B38" s="355"/>
      <c r="C38" s="342"/>
      <c r="D38" s="355"/>
      <c r="E38" s="117"/>
      <c r="F38" s="355"/>
      <c r="G38" s="342"/>
      <c r="H38" s="342"/>
      <c r="I38" s="118"/>
    </row>
    <row r="39" spans="1:9" ht="15" customHeight="1">
      <c r="A39" s="329" t="s">
        <v>123</v>
      </c>
      <c r="B39" s="355"/>
      <c r="C39" s="342"/>
      <c r="D39" s="355"/>
      <c r="E39" s="117"/>
      <c r="F39" s="355"/>
      <c r="G39" s="342"/>
      <c r="H39" s="342"/>
      <c r="I39" s="118"/>
    </row>
    <row r="40" spans="1:9" ht="15" customHeight="1">
      <c r="A40" s="114"/>
      <c r="B40" s="355"/>
      <c r="C40" s="342"/>
      <c r="D40" s="355"/>
      <c r="E40" s="117"/>
      <c r="F40" s="355"/>
      <c r="G40" s="342"/>
      <c r="H40" s="342"/>
      <c r="I40" s="118"/>
    </row>
    <row r="41" spans="1:9" ht="15" customHeight="1">
      <c r="A41" s="114"/>
      <c r="B41" s="355"/>
      <c r="C41" s="342"/>
      <c r="D41" s="355"/>
      <c r="E41" s="117"/>
      <c r="F41" s="355"/>
      <c r="G41" s="342"/>
      <c r="H41" s="342"/>
      <c r="I41" s="118"/>
    </row>
    <row r="42" spans="1:9" ht="15" customHeight="1">
      <c r="A42" s="114"/>
      <c r="B42" s="355"/>
      <c r="C42" s="342"/>
      <c r="D42" s="355"/>
      <c r="E42" s="117"/>
      <c r="F42" s="355"/>
      <c r="G42" s="342"/>
      <c r="H42" s="342"/>
      <c r="I42" s="118"/>
    </row>
    <row r="43" spans="1:9" ht="15" customHeight="1">
      <c r="A43" s="114"/>
      <c r="B43" s="355"/>
      <c r="C43" s="342"/>
      <c r="D43" s="355"/>
      <c r="E43" s="117"/>
      <c r="F43" s="355"/>
      <c r="G43" s="342"/>
      <c r="H43" s="342"/>
      <c r="I43" s="118"/>
    </row>
    <row r="44" spans="1:9" ht="15" customHeight="1">
      <c r="A44" s="114"/>
      <c r="B44" s="355"/>
      <c r="C44" s="342"/>
      <c r="D44" s="355"/>
      <c r="E44" s="117"/>
      <c r="F44" s="355"/>
      <c r="G44" s="342"/>
      <c r="H44" s="342"/>
      <c r="I44" s="118"/>
    </row>
    <row r="45" spans="1:9" ht="15" customHeight="1">
      <c r="A45" s="114"/>
      <c r="B45" s="355"/>
      <c r="C45" s="342"/>
      <c r="D45" s="355"/>
      <c r="E45" s="117"/>
      <c r="F45" s="355"/>
      <c r="G45" s="342"/>
      <c r="H45" s="342"/>
      <c r="I45" s="118"/>
    </row>
    <row r="46" ht="15" customHeight="1">
      <c r="A46" s="1"/>
    </row>
    <row r="47" spans="1:15" s="31" customFormat="1" ht="15" customHeight="1">
      <c r="A47" s="1"/>
      <c r="C47" s="360"/>
      <c r="E47" s="244"/>
      <c r="G47" s="360"/>
      <c r="H47" s="360"/>
      <c r="I47" s="48"/>
      <c r="J47" s="378"/>
      <c r="K47" s="378"/>
      <c r="L47" s="378"/>
      <c r="M47" s="378"/>
      <c r="N47" s="378"/>
      <c r="O47" s="378"/>
    </row>
    <row r="48" spans="1:15" s="31" customFormat="1" ht="15" customHeight="1">
      <c r="A48" s="1"/>
      <c r="C48" s="360"/>
      <c r="E48" s="244"/>
      <c r="G48" s="360"/>
      <c r="H48" s="360"/>
      <c r="I48" s="48"/>
      <c r="J48" s="378"/>
      <c r="K48" s="378"/>
      <c r="L48" s="378"/>
      <c r="M48" s="378"/>
      <c r="N48" s="378"/>
      <c r="O48" s="378"/>
    </row>
    <row r="49" spans="1:15" s="31" customFormat="1" ht="15" customHeight="1">
      <c r="A49" s="1"/>
      <c r="C49" s="360"/>
      <c r="E49" s="244"/>
      <c r="G49" s="360"/>
      <c r="H49" s="360"/>
      <c r="I49" s="48"/>
      <c r="J49" s="378"/>
      <c r="K49" s="378"/>
      <c r="L49" s="378"/>
      <c r="M49" s="378"/>
      <c r="N49" s="378"/>
      <c r="O49" s="378"/>
    </row>
    <row r="50" spans="1:15" s="31" customFormat="1" ht="15" customHeight="1">
      <c r="A50" s="1"/>
      <c r="C50" s="360"/>
      <c r="E50" s="244"/>
      <c r="G50" s="360"/>
      <c r="H50" s="360"/>
      <c r="I50" s="48"/>
      <c r="J50" s="378"/>
      <c r="K50" s="378"/>
      <c r="L50" s="378"/>
      <c r="M50" s="378"/>
      <c r="N50" s="378"/>
      <c r="O50" s="378"/>
    </row>
  </sheetData>
  <sheetProtection/>
  <printOptions/>
  <pageMargins left="0.7" right="0.7" top="1.33" bottom="0.5" header="0.3" footer="0.3"/>
  <pageSetup horizontalDpi="600" verticalDpi="600" orientation="portrait" scale="90" r:id="rId1"/>
  <headerFooter>
    <oddHeader>&amp;L&amp;D&amp;RProduce Brokers Limited
1349/A, North Agrabad,
D. T. Road, Askerabad (1st Floor),
Chattogram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J20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6.7109375" style="4" customWidth="1"/>
    <col min="2" max="2" width="7.57421875" style="4" customWidth="1"/>
    <col min="3" max="3" width="12.57421875" style="6" customWidth="1"/>
    <col min="4" max="4" width="12.7109375" style="5" customWidth="1"/>
    <col min="5" max="5" width="15.00390625" style="6" customWidth="1"/>
    <col min="6" max="6" width="14.421875" style="5" customWidth="1"/>
    <col min="7" max="7" width="9.8515625" style="5" customWidth="1"/>
    <col min="8" max="8" width="9.57421875" style="5" customWidth="1"/>
    <col min="9" max="9" width="9.28125" style="3" customWidth="1"/>
    <col min="10" max="10" width="21.28125" style="378" bestFit="1" customWidth="1"/>
    <col min="11" max="16384" width="9.140625" style="378" customWidth="1"/>
  </cols>
  <sheetData>
    <row r="1" spans="1:9" ht="12.75" customHeight="1">
      <c r="A1" s="380"/>
      <c r="B1" s="380"/>
      <c r="C1" s="381" t="s">
        <v>3</v>
      </c>
      <c r="D1" s="382"/>
      <c r="E1" s="383"/>
      <c r="F1" s="384"/>
      <c r="G1" s="382"/>
      <c r="H1" s="380"/>
      <c r="I1" s="15"/>
    </row>
    <row r="2" spans="1:9" ht="12.75" customHeight="1">
      <c r="A2" s="380"/>
      <c r="B2" s="380"/>
      <c r="C2" s="381" t="s">
        <v>4</v>
      </c>
      <c r="D2" s="385"/>
      <c r="E2" s="381"/>
      <c r="F2" s="384"/>
      <c r="G2" s="382"/>
      <c r="H2" s="380"/>
      <c r="I2" s="15"/>
    </row>
    <row r="3" spans="1:9" ht="12.75" customHeight="1">
      <c r="A3" s="380"/>
      <c r="B3" s="380"/>
      <c r="C3" s="381" t="s">
        <v>33</v>
      </c>
      <c r="D3" s="385"/>
      <c r="E3" s="381"/>
      <c r="F3" s="384"/>
      <c r="G3" s="382"/>
      <c r="H3" s="380"/>
      <c r="I3" s="15"/>
    </row>
    <row r="4" spans="1:9" ht="12.75" customHeight="1">
      <c r="A4" s="386"/>
      <c r="B4" s="380"/>
      <c r="C4" s="381" t="s">
        <v>31</v>
      </c>
      <c r="D4" s="385"/>
      <c r="E4" s="381"/>
      <c r="F4" s="384"/>
      <c r="G4" s="387"/>
      <c r="H4" s="380"/>
      <c r="I4" s="15"/>
    </row>
    <row r="5" spans="1:9" ht="12.75" customHeight="1">
      <c r="A5" s="380"/>
      <c r="B5" s="386"/>
      <c r="C5" s="388"/>
      <c r="D5" s="387"/>
      <c r="E5" s="383" t="s">
        <v>1347</v>
      </c>
      <c r="F5" s="384"/>
      <c r="G5" s="387"/>
      <c r="H5" s="380"/>
      <c r="I5" s="15"/>
    </row>
    <row r="6" spans="1:9" ht="12.75" customHeight="1">
      <c r="A6" s="389" t="s">
        <v>39</v>
      </c>
      <c r="B6" s="386"/>
      <c r="C6" s="388"/>
      <c r="D6" s="387"/>
      <c r="E6" s="388"/>
      <c r="F6" s="384"/>
      <c r="G6" s="387"/>
      <c r="H6" s="380"/>
      <c r="I6" s="15"/>
    </row>
    <row r="7" spans="1:9" ht="12.75" customHeight="1">
      <c r="A7" s="390" t="s">
        <v>312</v>
      </c>
      <c r="B7" s="390"/>
      <c r="C7" s="856" t="s">
        <v>1345</v>
      </c>
      <c r="D7" s="856"/>
      <c r="E7" s="553" t="s">
        <v>1346</v>
      </c>
      <c r="F7" s="384"/>
      <c r="G7" s="382"/>
      <c r="H7" s="380"/>
      <c r="I7" s="15"/>
    </row>
    <row r="8" spans="1:9" ht="12.75" customHeight="1">
      <c r="A8" s="392" t="s">
        <v>243</v>
      </c>
      <c r="B8" s="380"/>
      <c r="C8" s="393" t="s">
        <v>0</v>
      </c>
      <c r="D8" s="394" t="s">
        <v>1</v>
      </c>
      <c r="E8" s="393" t="s">
        <v>0</v>
      </c>
      <c r="F8" s="394" t="s">
        <v>1</v>
      </c>
      <c r="G8" s="382"/>
      <c r="H8" s="380"/>
      <c r="I8" s="15"/>
    </row>
    <row r="9" spans="1:9" ht="12.75" customHeight="1">
      <c r="A9" s="389" t="s">
        <v>1348</v>
      </c>
      <c r="B9" s="380"/>
      <c r="C9" s="413">
        <v>2991.7</v>
      </c>
      <c r="D9" s="400">
        <v>77.01403884079286</v>
      </c>
      <c r="E9" s="413">
        <v>2991.7</v>
      </c>
      <c r="F9" s="400">
        <v>77.01403884079286</v>
      </c>
      <c r="G9" s="382"/>
      <c r="H9" s="380"/>
      <c r="I9" s="15"/>
    </row>
    <row r="10" spans="1:9" ht="12.75" customHeight="1">
      <c r="A10" s="389" t="s">
        <v>1207</v>
      </c>
      <c r="B10" s="380"/>
      <c r="C10" s="413">
        <v>2988.6</v>
      </c>
      <c r="D10" s="400">
        <v>78.66760356019542</v>
      </c>
      <c r="E10" s="413">
        <v>30436.8</v>
      </c>
      <c r="F10" s="400">
        <v>104.30713806970509</v>
      </c>
      <c r="G10" s="382"/>
      <c r="H10" s="380"/>
      <c r="I10" s="15"/>
    </row>
    <row r="11" spans="1:9" ht="12.75" customHeight="1">
      <c r="A11" s="389" t="s">
        <v>277</v>
      </c>
      <c r="B11" s="380"/>
      <c r="C11" s="413">
        <v>998.5</v>
      </c>
      <c r="D11" s="400">
        <v>85</v>
      </c>
      <c r="E11" s="413">
        <v>76115.29999999999</v>
      </c>
      <c r="F11" s="400">
        <v>126.9077504785503</v>
      </c>
      <c r="G11" s="382"/>
      <c r="H11" s="380"/>
      <c r="I11" s="15"/>
    </row>
    <row r="12" spans="1:9" ht="12.75" customHeight="1">
      <c r="A12" s="389" t="s">
        <v>279</v>
      </c>
      <c r="B12" s="380"/>
      <c r="C12" s="413">
        <v>0</v>
      </c>
      <c r="D12" s="400">
        <v>0</v>
      </c>
      <c r="E12" s="413">
        <v>2991</v>
      </c>
      <c r="F12" s="400">
        <v>240.16666666666666</v>
      </c>
      <c r="G12" s="382"/>
      <c r="H12" s="380"/>
      <c r="I12" s="15"/>
    </row>
    <row r="13" spans="1:9" ht="12.75" customHeight="1">
      <c r="A13" s="389" t="s">
        <v>278</v>
      </c>
      <c r="B13" s="380"/>
      <c r="C13" s="413">
        <v>6226.7</v>
      </c>
      <c r="D13" s="400">
        <v>137.32511603256944</v>
      </c>
      <c r="E13" s="413">
        <v>128790.29999999999</v>
      </c>
      <c r="F13" s="400">
        <v>186.27779731858695</v>
      </c>
      <c r="G13" s="382"/>
      <c r="H13" s="380"/>
      <c r="I13" s="15"/>
    </row>
    <row r="14" spans="1:9" ht="12.75" customHeight="1">
      <c r="A14" s="389" t="s">
        <v>1208</v>
      </c>
      <c r="B14" s="380"/>
      <c r="C14" s="413">
        <v>0</v>
      </c>
      <c r="D14" s="400">
        <v>0</v>
      </c>
      <c r="E14" s="413">
        <v>43364.4</v>
      </c>
      <c r="F14" s="400">
        <v>191.19685732997576</v>
      </c>
      <c r="G14" s="382"/>
      <c r="H14" s="380"/>
      <c r="I14" s="15"/>
    </row>
    <row r="15" spans="1:9" ht="12.75" customHeight="1">
      <c r="A15" s="389" t="s">
        <v>1349</v>
      </c>
      <c r="B15" s="380"/>
      <c r="C15" s="413">
        <v>2995.2</v>
      </c>
      <c r="D15" s="400">
        <v>161.33333333333334</v>
      </c>
      <c r="E15" s="413">
        <v>2995.2</v>
      </c>
      <c r="F15" s="400">
        <v>161.33333333333334</v>
      </c>
      <c r="G15" s="382"/>
      <c r="H15" s="380"/>
      <c r="I15" s="15"/>
    </row>
    <row r="16" spans="1:9" ht="12.75" customHeight="1">
      <c r="A16" s="389" t="s">
        <v>280</v>
      </c>
      <c r="B16" s="380"/>
      <c r="C16" s="413">
        <v>3994</v>
      </c>
      <c r="D16" s="400">
        <v>125</v>
      </c>
      <c r="E16" s="413">
        <v>293072.60000000003</v>
      </c>
      <c r="F16" s="400">
        <v>160.79155608542044</v>
      </c>
      <c r="G16" s="382"/>
      <c r="H16" s="380"/>
      <c r="I16" s="15"/>
    </row>
    <row r="17" spans="1:9" ht="12.75" customHeight="1">
      <c r="A17" s="389" t="s">
        <v>281</v>
      </c>
      <c r="B17" s="380"/>
      <c r="C17" s="413">
        <v>7987.9</v>
      </c>
      <c r="D17" s="400">
        <v>92.91295584571665</v>
      </c>
      <c r="E17" s="413">
        <v>96065.49999999999</v>
      </c>
      <c r="F17" s="400">
        <v>117.71960589389533</v>
      </c>
      <c r="G17" s="382"/>
      <c r="H17" s="380"/>
      <c r="I17" s="15"/>
    </row>
    <row r="18" spans="1:9" ht="12.75" customHeight="1">
      <c r="A18" s="389" t="s">
        <v>1209</v>
      </c>
      <c r="B18" s="380"/>
      <c r="C18" s="413">
        <v>0</v>
      </c>
      <c r="D18" s="400">
        <v>0</v>
      </c>
      <c r="E18" s="413">
        <v>3240.9</v>
      </c>
      <c r="F18" s="400">
        <v>91.5433984387053</v>
      </c>
      <c r="G18" s="382"/>
      <c r="H18" s="380"/>
      <c r="I18" s="15"/>
    </row>
    <row r="19" spans="1:9" ht="12.75" customHeight="1">
      <c r="A19" s="389" t="s">
        <v>1210</v>
      </c>
      <c r="B19" s="380"/>
      <c r="C19" s="413">
        <v>0</v>
      </c>
      <c r="D19" s="400">
        <v>0</v>
      </c>
      <c r="E19" s="413">
        <v>11966.1</v>
      </c>
      <c r="F19" s="400">
        <v>100</v>
      </c>
      <c r="G19" s="382"/>
      <c r="H19" s="380"/>
      <c r="I19" s="15"/>
    </row>
    <row r="20" spans="1:9" ht="12.75" customHeight="1">
      <c r="A20" s="389" t="s">
        <v>1211</v>
      </c>
      <c r="B20" s="380"/>
      <c r="C20" s="413">
        <v>7487.9</v>
      </c>
      <c r="D20" s="400">
        <v>194.80252140119393</v>
      </c>
      <c r="E20" s="413">
        <v>20965.9</v>
      </c>
      <c r="F20" s="400">
        <v>200.26383794637957</v>
      </c>
      <c r="G20" s="382"/>
      <c r="H20" s="380"/>
      <c r="I20" s="15"/>
    </row>
    <row r="21" spans="1:9" ht="12.75" customHeight="1">
      <c r="A21" s="389" t="s">
        <v>1212</v>
      </c>
      <c r="B21" s="380"/>
      <c r="C21" s="413">
        <v>0</v>
      </c>
      <c r="D21" s="400">
        <v>0</v>
      </c>
      <c r="E21" s="413">
        <v>34390.899999999994</v>
      </c>
      <c r="F21" s="400">
        <v>173.0672154552513</v>
      </c>
      <c r="G21" s="382"/>
      <c r="H21" s="380"/>
      <c r="I21" s="15"/>
    </row>
    <row r="22" spans="1:9" ht="12.75" customHeight="1">
      <c r="A22" s="389" t="s">
        <v>282</v>
      </c>
      <c r="B22" s="380"/>
      <c r="C22" s="413">
        <v>0</v>
      </c>
      <c r="D22" s="400">
        <v>0</v>
      </c>
      <c r="E22" s="413">
        <v>72019.49999999999</v>
      </c>
      <c r="F22" s="400">
        <v>181.29189316782265</v>
      </c>
      <c r="G22" s="382"/>
      <c r="H22" s="380"/>
      <c r="I22" s="15"/>
    </row>
    <row r="23" spans="1:9" ht="12.75" customHeight="1">
      <c r="A23" s="389" t="s">
        <v>283</v>
      </c>
      <c r="B23" s="380"/>
      <c r="C23" s="413">
        <v>18137.9</v>
      </c>
      <c r="D23" s="400">
        <v>224.06711912624945</v>
      </c>
      <c r="E23" s="413">
        <v>507855.10000000015</v>
      </c>
      <c r="F23" s="400">
        <v>263.4884639339055</v>
      </c>
      <c r="G23" s="382"/>
      <c r="H23" s="380"/>
      <c r="I23" s="15"/>
    </row>
    <row r="24" spans="1:9" ht="12.75" customHeight="1">
      <c r="A24" s="389" t="s">
        <v>284</v>
      </c>
      <c r="B24" s="380"/>
      <c r="C24" s="413">
        <v>2485</v>
      </c>
      <c r="D24" s="400">
        <v>85.4</v>
      </c>
      <c r="E24" s="413">
        <v>37338.2</v>
      </c>
      <c r="F24" s="400">
        <v>109.71266424198275</v>
      </c>
      <c r="G24" s="382"/>
      <c r="H24" s="380"/>
      <c r="I24" s="15"/>
    </row>
    <row r="25" spans="1:9" ht="12.75" customHeight="1">
      <c r="A25" s="389" t="s">
        <v>285</v>
      </c>
      <c r="B25" s="380"/>
      <c r="C25" s="413">
        <v>748.2</v>
      </c>
      <c r="D25" s="400">
        <v>107.99037690457095</v>
      </c>
      <c r="E25" s="413">
        <v>105891.19999999998</v>
      </c>
      <c r="F25" s="400">
        <v>170.7727762080324</v>
      </c>
      <c r="G25" s="382"/>
      <c r="H25" s="380"/>
      <c r="I25" s="15"/>
    </row>
    <row r="26" spans="1:9" ht="12.75" customHeight="1">
      <c r="A26" s="389" t="s">
        <v>1213</v>
      </c>
      <c r="B26" s="380"/>
      <c r="C26" s="413">
        <v>0</v>
      </c>
      <c r="D26" s="400">
        <v>0</v>
      </c>
      <c r="E26" s="413">
        <v>23422</v>
      </c>
      <c r="F26" s="400">
        <v>133.88325932883612</v>
      </c>
      <c r="G26" s="382"/>
      <c r="H26" s="380"/>
      <c r="I26" s="15"/>
    </row>
    <row r="27" spans="1:9" ht="12.75" customHeight="1">
      <c r="A27" s="389" t="s">
        <v>286</v>
      </c>
      <c r="B27" s="380"/>
      <c r="C27" s="413">
        <v>22448.5</v>
      </c>
      <c r="D27" s="400">
        <v>141.3529233579081</v>
      </c>
      <c r="E27" s="413">
        <v>231954</v>
      </c>
      <c r="F27" s="400">
        <v>216.4123239952749</v>
      </c>
      <c r="G27" s="382"/>
      <c r="H27" s="380"/>
      <c r="I27" s="15"/>
    </row>
    <row r="28" spans="1:9" ht="12.75" customHeight="1">
      <c r="A28" s="389" t="s">
        <v>1214</v>
      </c>
      <c r="B28" s="380"/>
      <c r="C28" s="413">
        <v>0</v>
      </c>
      <c r="D28" s="400">
        <v>0</v>
      </c>
      <c r="E28" s="413">
        <v>12462.5</v>
      </c>
      <c r="F28" s="400">
        <v>193.64</v>
      </c>
      <c r="G28" s="382"/>
      <c r="H28" s="380"/>
      <c r="I28" s="15"/>
    </row>
    <row r="29" spans="1:9" ht="12.75" customHeight="1">
      <c r="A29" s="389" t="s">
        <v>287</v>
      </c>
      <c r="B29" s="380"/>
      <c r="C29" s="413">
        <v>3240</v>
      </c>
      <c r="D29" s="400">
        <v>155.84305555555557</v>
      </c>
      <c r="E29" s="413">
        <v>176813.4</v>
      </c>
      <c r="F29" s="400">
        <v>172.78270198978132</v>
      </c>
      <c r="G29" s="382"/>
      <c r="H29" s="380"/>
      <c r="I29" s="15"/>
    </row>
    <row r="30" spans="1:9" ht="12.75" customHeight="1">
      <c r="A30" s="389" t="s">
        <v>288</v>
      </c>
      <c r="B30" s="380"/>
      <c r="C30" s="413">
        <v>18970.4</v>
      </c>
      <c r="D30" s="400">
        <v>130.42096634757306</v>
      </c>
      <c r="E30" s="413">
        <v>452135.19999999995</v>
      </c>
      <c r="F30" s="400">
        <v>175.29210200842581</v>
      </c>
      <c r="G30" s="382"/>
      <c r="H30" s="380"/>
      <c r="I30" s="15"/>
    </row>
    <row r="31" spans="1:9" ht="12.75" customHeight="1">
      <c r="A31" s="389" t="s">
        <v>1215</v>
      </c>
      <c r="B31" s="380"/>
      <c r="C31" s="413">
        <v>0</v>
      </c>
      <c r="D31" s="400">
        <v>0</v>
      </c>
      <c r="E31" s="413">
        <v>12483.4</v>
      </c>
      <c r="F31" s="400">
        <v>128.42010990595512</v>
      </c>
      <c r="G31" s="382"/>
      <c r="H31" s="380"/>
      <c r="I31" s="15"/>
    </row>
    <row r="32" spans="1:9" ht="12.75" customHeight="1">
      <c r="A32" s="389" t="s">
        <v>289</v>
      </c>
      <c r="B32" s="380"/>
      <c r="C32" s="413">
        <v>0</v>
      </c>
      <c r="D32" s="400">
        <v>0</v>
      </c>
      <c r="E32" s="413">
        <v>358481.89999999997</v>
      </c>
      <c r="F32" s="400">
        <v>218.31757224004895</v>
      </c>
      <c r="G32" s="382"/>
      <c r="H32" s="380"/>
      <c r="I32" s="15"/>
    </row>
    <row r="33" spans="1:9" ht="12.75" customHeight="1">
      <c r="A33" s="389" t="s">
        <v>290</v>
      </c>
      <c r="B33" s="380"/>
      <c r="C33" s="413">
        <v>7230.7</v>
      </c>
      <c r="D33" s="400">
        <v>82.83077710318503</v>
      </c>
      <c r="E33" s="413">
        <v>54515.99999999999</v>
      </c>
      <c r="F33" s="400">
        <v>103.64552424976156</v>
      </c>
      <c r="G33" s="382"/>
      <c r="H33" s="380"/>
      <c r="I33" s="15"/>
    </row>
    <row r="34" spans="1:9" ht="12.75" customHeight="1">
      <c r="A34" s="389" t="s">
        <v>291</v>
      </c>
      <c r="B34" s="380"/>
      <c r="C34" s="413">
        <v>9982.4</v>
      </c>
      <c r="D34" s="400">
        <v>114.00394694662607</v>
      </c>
      <c r="E34" s="413">
        <v>226605.6</v>
      </c>
      <c r="F34" s="400">
        <v>134.52251533060084</v>
      </c>
      <c r="G34" s="382"/>
      <c r="H34" s="380"/>
      <c r="I34" s="15"/>
    </row>
    <row r="35" spans="1:9" ht="12.75" customHeight="1">
      <c r="A35" s="389" t="s">
        <v>292</v>
      </c>
      <c r="B35" s="380"/>
      <c r="C35" s="413">
        <v>8969.2</v>
      </c>
      <c r="D35" s="400">
        <v>147.61081255853364</v>
      </c>
      <c r="E35" s="413">
        <v>127604.49999999996</v>
      </c>
      <c r="F35" s="400">
        <v>207.83297846079105</v>
      </c>
      <c r="G35" s="382"/>
      <c r="H35" s="380"/>
      <c r="I35" s="15"/>
    </row>
    <row r="36" spans="1:9" ht="12.75" customHeight="1">
      <c r="A36" s="389" t="s">
        <v>294</v>
      </c>
      <c r="B36" s="380"/>
      <c r="C36" s="413">
        <v>7976</v>
      </c>
      <c r="D36" s="400">
        <v>67.75</v>
      </c>
      <c r="E36" s="413">
        <v>21114.2</v>
      </c>
      <c r="F36" s="400">
        <v>88.11183942559983</v>
      </c>
      <c r="G36" s="382"/>
      <c r="H36" s="380"/>
      <c r="I36" s="15"/>
    </row>
    <row r="37" spans="1:9" ht="12.75" customHeight="1">
      <c r="A37" s="389" t="s">
        <v>295</v>
      </c>
      <c r="B37" s="380"/>
      <c r="C37" s="413">
        <v>12464</v>
      </c>
      <c r="D37" s="400">
        <v>92.64245025673941</v>
      </c>
      <c r="E37" s="413">
        <v>118755.79999999999</v>
      </c>
      <c r="F37" s="400">
        <v>116.20453401012836</v>
      </c>
      <c r="G37" s="382"/>
      <c r="H37" s="380"/>
      <c r="I37" s="15"/>
    </row>
    <row r="38" spans="1:9" ht="12.75" customHeight="1">
      <c r="A38" s="389" t="s">
        <v>1216</v>
      </c>
      <c r="B38" s="380"/>
      <c r="C38" s="413">
        <v>0</v>
      </c>
      <c r="D38" s="400">
        <v>0</v>
      </c>
      <c r="E38" s="413">
        <v>8975.8</v>
      </c>
      <c r="F38" s="400">
        <v>171.7285478731701</v>
      </c>
      <c r="G38" s="382"/>
      <c r="H38" s="380"/>
      <c r="I38" s="15"/>
    </row>
    <row r="39" spans="1:9" ht="12.75" customHeight="1">
      <c r="A39" s="389" t="s">
        <v>293</v>
      </c>
      <c r="B39" s="380"/>
      <c r="C39" s="413">
        <v>14976.7</v>
      </c>
      <c r="D39" s="400">
        <v>135.2671082414684</v>
      </c>
      <c r="E39" s="413">
        <v>187367.30000000002</v>
      </c>
      <c r="F39" s="400">
        <v>179.3163220049603</v>
      </c>
      <c r="G39" s="382"/>
      <c r="H39" s="380"/>
      <c r="I39" s="15"/>
    </row>
    <row r="40" spans="1:9" ht="12.75" customHeight="1">
      <c r="A40" s="389" t="s">
        <v>1217</v>
      </c>
      <c r="B40" s="380"/>
      <c r="C40" s="413">
        <v>497</v>
      </c>
      <c r="D40" s="400">
        <v>140</v>
      </c>
      <c r="E40" s="413">
        <v>33382.8</v>
      </c>
      <c r="F40" s="400">
        <v>193.06151071809433</v>
      </c>
      <c r="G40" s="382"/>
      <c r="H40" s="380"/>
      <c r="I40" s="15"/>
    </row>
    <row r="41" spans="1:9" ht="12.75" customHeight="1">
      <c r="A41" s="389" t="s">
        <v>1218</v>
      </c>
      <c r="B41" s="380"/>
      <c r="C41" s="413">
        <v>3490.9</v>
      </c>
      <c r="D41" s="400">
        <v>130.14400297917442</v>
      </c>
      <c r="E41" s="413">
        <v>32948.3</v>
      </c>
      <c r="F41" s="400">
        <v>175.556347368453</v>
      </c>
      <c r="G41" s="382"/>
      <c r="H41" s="380"/>
      <c r="I41" s="15"/>
    </row>
    <row r="42" spans="1:9" ht="12.75" customHeight="1">
      <c r="A42" s="389" t="s">
        <v>296</v>
      </c>
      <c r="B42" s="380"/>
      <c r="C42" s="413">
        <v>8987.4</v>
      </c>
      <c r="D42" s="400">
        <v>96.88986803747468</v>
      </c>
      <c r="E42" s="413">
        <v>157648.90000000002</v>
      </c>
      <c r="F42" s="400">
        <v>152.15488975819048</v>
      </c>
      <c r="G42" s="382"/>
      <c r="H42" s="380"/>
      <c r="I42" s="15"/>
    </row>
    <row r="43" spans="1:9" ht="12.75" customHeight="1">
      <c r="A43" s="389" t="s">
        <v>297</v>
      </c>
      <c r="B43" s="380"/>
      <c r="C43" s="413">
        <v>3491</v>
      </c>
      <c r="D43" s="400">
        <v>92.87095388140933</v>
      </c>
      <c r="E43" s="413">
        <v>73494</v>
      </c>
      <c r="F43" s="400">
        <v>112.97693417149698</v>
      </c>
      <c r="G43" s="382"/>
      <c r="H43" s="380"/>
      <c r="I43" s="15"/>
    </row>
    <row r="44" spans="1:9" ht="12.75" customHeight="1">
      <c r="A44" s="389" t="s">
        <v>313</v>
      </c>
      <c r="B44" s="380"/>
      <c r="C44" s="413">
        <v>5982</v>
      </c>
      <c r="D44" s="400">
        <v>135.33333333333334</v>
      </c>
      <c r="E44" s="413">
        <v>74222.5</v>
      </c>
      <c r="F44" s="400">
        <v>163.53864663680153</v>
      </c>
      <c r="G44" s="382"/>
      <c r="H44" s="380"/>
      <c r="I44" s="15"/>
    </row>
    <row r="45" spans="1:9" ht="12.75" customHeight="1">
      <c r="A45" s="389" t="s">
        <v>298</v>
      </c>
      <c r="B45" s="380"/>
      <c r="C45" s="413">
        <v>19968.7</v>
      </c>
      <c r="D45" s="400">
        <v>123.27472494453819</v>
      </c>
      <c r="E45" s="413">
        <v>520030.4</v>
      </c>
      <c r="F45" s="400">
        <v>170.93791862937243</v>
      </c>
      <c r="G45" s="382"/>
      <c r="H45" s="380"/>
      <c r="I45" s="15"/>
    </row>
    <row r="46" spans="1:9" ht="12.75" customHeight="1">
      <c r="A46" s="389" t="s">
        <v>1219</v>
      </c>
      <c r="B46" s="380"/>
      <c r="C46" s="413">
        <v>13479.5</v>
      </c>
      <c r="D46" s="400">
        <v>196.62935568826737</v>
      </c>
      <c r="E46" s="413">
        <v>50410.2</v>
      </c>
      <c r="F46" s="400">
        <v>197.1566706737922</v>
      </c>
      <c r="G46" s="382"/>
      <c r="H46" s="380"/>
      <c r="I46" s="15"/>
    </row>
    <row r="47" spans="1:9" ht="12.75" customHeight="1">
      <c r="A47" s="389" t="s">
        <v>299</v>
      </c>
      <c r="B47" s="380"/>
      <c r="C47" s="413">
        <v>1745</v>
      </c>
      <c r="D47" s="400">
        <v>94.71432664756448</v>
      </c>
      <c r="E47" s="413">
        <v>76256.59999999999</v>
      </c>
      <c r="F47" s="400">
        <v>115.74971740151018</v>
      </c>
      <c r="G47" s="382"/>
      <c r="H47" s="380"/>
      <c r="I47" s="15"/>
    </row>
    <row r="48" spans="1:9" ht="12.75" customHeight="1">
      <c r="A48" s="389" t="s">
        <v>1220</v>
      </c>
      <c r="B48" s="380"/>
      <c r="C48" s="413">
        <v>0</v>
      </c>
      <c r="D48" s="400">
        <v>0</v>
      </c>
      <c r="E48" s="413">
        <v>17966.1</v>
      </c>
      <c r="F48" s="400">
        <v>108.66740694975537</v>
      </c>
      <c r="G48" s="382"/>
      <c r="H48" s="380"/>
      <c r="I48" s="15"/>
    </row>
    <row r="49" spans="1:9" ht="12.75" customHeight="1">
      <c r="A49" s="389" t="s">
        <v>300</v>
      </c>
      <c r="B49" s="380"/>
      <c r="C49" s="413">
        <v>11479</v>
      </c>
      <c r="D49" s="400">
        <v>94.21857304643261</v>
      </c>
      <c r="E49" s="413">
        <v>90075.7</v>
      </c>
      <c r="F49" s="400">
        <v>114.15135269556606</v>
      </c>
      <c r="G49" s="382"/>
      <c r="H49" s="380"/>
      <c r="I49" s="15"/>
    </row>
    <row r="50" spans="1:9" ht="12.75" customHeight="1">
      <c r="A50" s="389" t="s">
        <v>301</v>
      </c>
      <c r="B50" s="380"/>
      <c r="C50" s="413">
        <v>38433.3</v>
      </c>
      <c r="D50" s="400">
        <v>153.9094040844788</v>
      </c>
      <c r="E50" s="413">
        <v>724917.4000000001</v>
      </c>
      <c r="F50" s="400">
        <v>202.4847036365798</v>
      </c>
      <c r="G50" s="382"/>
      <c r="H50" s="380"/>
      <c r="I50" s="15"/>
    </row>
    <row r="51" spans="1:9" ht="12.75" customHeight="1">
      <c r="A51" s="389" t="s">
        <v>302</v>
      </c>
      <c r="B51" s="380"/>
      <c r="C51" s="413">
        <v>5982.7</v>
      </c>
      <c r="D51" s="400">
        <v>92.24973674093637</v>
      </c>
      <c r="E51" s="413">
        <v>182058.40000000005</v>
      </c>
      <c r="F51" s="400">
        <v>110.913370654691</v>
      </c>
      <c r="G51" s="382"/>
      <c r="H51" s="380"/>
      <c r="I51" s="15"/>
    </row>
    <row r="52" spans="1:9" ht="12.75" customHeight="1">
      <c r="A52" s="389" t="s">
        <v>303</v>
      </c>
      <c r="B52" s="380"/>
      <c r="C52" s="413">
        <v>6234.3</v>
      </c>
      <c r="D52" s="400">
        <v>114.20570072020917</v>
      </c>
      <c r="E52" s="413">
        <v>173489.90000000002</v>
      </c>
      <c r="F52" s="400">
        <v>126.5464248927459</v>
      </c>
      <c r="G52" s="382"/>
      <c r="H52" s="380"/>
      <c r="I52" s="15"/>
    </row>
    <row r="53" spans="1:9" ht="12.75" customHeight="1">
      <c r="A53" s="389" t="s">
        <v>314</v>
      </c>
      <c r="B53" s="380"/>
      <c r="C53" s="413">
        <v>1997</v>
      </c>
      <c r="D53" s="400">
        <v>130.5</v>
      </c>
      <c r="E53" s="413">
        <v>61601.2</v>
      </c>
      <c r="F53" s="400">
        <v>166.40058797555892</v>
      </c>
      <c r="G53" s="382"/>
      <c r="H53" s="380"/>
      <c r="I53" s="15"/>
    </row>
    <row r="54" spans="1:9" ht="12.75" customHeight="1">
      <c r="A54" s="389" t="s">
        <v>1221</v>
      </c>
      <c r="B54" s="380"/>
      <c r="C54" s="501">
        <v>1486.5</v>
      </c>
      <c r="D54" s="404">
        <v>80</v>
      </c>
      <c r="E54" s="501">
        <v>11419.5</v>
      </c>
      <c r="F54" s="404">
        <v>99.05845264678838</v>
      </c>
      <c r="G54" s="382"/>
      <c r="H54" s="380"/>
      <c r="I54" s="15"/>
    </row>
    <row r="55" spans="1:9" ht="12.75" customHeight="1">
      <c r="A55" s="389" t="s">
        <v>304</v>
      </c>
      <c r="B55" s="390"/>
      <c r="C55" s="393">
        <v>286553.8</v>
      </c>
      <c r="D55" s="394">
        <v>133.74806127156575</v>
      </c>
      <c r="E55" s="393">
        <v>5763104.099999999</v>
      </c>
      <c r="F55" s="394">
        <v>177.23295473701404</v>
      </c>
      <c r="G55" s="382"/>
      <c r="H55" s="380"/>
      <c r="I55" s="15"/>
    </row>
    <row r="56" spans="1:9" ht="12.75" customHeight="1">
      <c r="A56" s="389" t="s">
        <v>36</v>
      </c>
      <c r="B56" s="380"/>
      <c r="C56" s="413"/>
      <c r="D56" s="400"/>
      <c r="E56" s="413"/>
      <c r="F56" s="400"/>
      <c r="G56" s="382"/>
      <c r="H56" s="380"/>
      <c r="I56" s="15"/>
    </row>
    <row r="57" spans="1:9" ht="12.75" customHeight="1">
      <c r="A57" s="392" t="s">
        <v>1222</v>
      </c>
      <c r="B57" s="390"/>
      <c r="C57" s="393" t="s">
        <v>0</v>
      </c>
      <c r="D57" s="394" t="s">
        <v>1</v>
      </c>
      <c r="E57" s="393" t="s">
        <v>0</v>
      </c>
      <c r="F57" s="394" t="s">
        <v>1</v>
      </c>
      <c r="G57" s="382"/>
      <c r="H57" s="380"/>
      <c r="I57" s="15"/>
    </row>
    <row r="58" spans="1:9" ht="12.75" customHeight="1">
      <c r="A58" s="389" t="s">
        <v>1223</v>
      </c>
      <c r="B58" s="380"/>
      <c r="C58" s="413">
        <v>2492.4</v>
      </c>
      <c r="D58" s="400">
        <v>101.99967902423367</v>
      </c>
      <c r="E58" s="413">
        <v>10979.6</v>
      </c>
      <c r="F58" s="400">
        <v>122.77976429013806</v>
      </c>
      <c r="G58" s="382"/>
      <c r="H58" s="380"/>
      <c r="I58" s="15"/>
    </row>
    <row r="59" spans="1:9" ht="12.75" customHeight="1">
      <c r="A59" s="389" t="s">
        <v>1224</v>
      </c>
      <c r="B59" s="380"/>
      <c r="C59" s="413">
        <v>0</v>
      </c>
      <c r="D59" s="400">
        <v>0</v>
      </c>
      <c r="E59" s="413">
        <v>11368.6</v>
      </c>
      <c r="F59" s="400">
        <v>145.43879633376142</v>
      </c>
      <c r="G59" s="382"/>
      <c r="H59" s="380"/>
      <c r="I59" s="15"/>
    </row>
    <row r="60" spans="1:9" ht="12.75" customHeight="1">
      <c r="A60" s="389" t="s">
        <v>1225</v>
      </c>
      <c r="B60" s="380"/>
      <c r="C60" s="501">
        <v>497</v>
      </c>
      <c r="D60" s="404">
        <v>100</v>
      </c>
      <c r="E60" s="501">
        <v>43903.5</v>
      </c>
      <c r="F60" s="404">
        <v>161.5758242509139</v>
      </c>
      <c r="G60" s="382"/>
      <c r="H60" s="380"/>
      <c r="I60" s="15"/>
    </row>
    <row r="61" spans="1:9" ht="12.75" customHeight="1">
      <c r="A61" s="389" t="s">
        <v>304</v>
      </c>
      <c r="B61" s="390"/>
      <c r="C61" s="393">
        <v>2989.4</v>
      </c>
      <c r="D61" s="394">
        <v>101.66722419214558</v>
      </c>
      <c r="E61" s="393">
        <v>66251.7</v>
      </c>
      <c r="F61" s="394">
        <v>152.37725824393942</v>
      </c>
      <c r="G61" s="382"/>
      <c r="H61" s="380"/>
      <c r="I61" s="15"/>
    </row>
    <row r="62" spans="1:9" ht="12.75" customHeight="1">
      <c r="A62" s="389" t="s">
        <v>1226</v>
      </c>
      <c r="B62" s="380"/>
      <c r="C62" s="413">
        <v>289543.2</v>
      </c>
      <c r="D62" s="400">
        <v>133.4168414246993</v>
      </c>
      <c r="E62" s="413">
        <v>5829355.799999998</v>
      </c>
      <c r="F62" s="400">
        <v>176.95046517833072</v>
      </c>
      <c r="G62" s="382"/>
      <c r="H62" s="380"/>
      <c r="I62" s="15"/>
    </row>
    <row r="63" spans="1:9" ht="12.75" customHeight="1">
      <c r="A63" s="389" t="s">
        <v>1227</v>
      </c>
      <c r="B63" s="380"/>
      <c r="C63" s="501" t="s">
        <v>306</v>
      </c>
      <c r="D63" s="404" t="s">
        <v>307</v>
      </c>
      <c r="E63" s="501" t="s">
        <v>306</v>
      </c>
      <c r="F63" s="404" t="s">
        <v>307</v>
      </c>
      <c r="G63" s="382"/>
      <c r="H63" s="380"/>
      <c r="I63" s="15"/>
    </row>
    <row r="64" spans="1:9" ht="12.75" customHeight="1">
      <c r="A64" s="389" t="s">
        <v>287</v>
      </c>
      <c r="B64" s="380"/>
      <c r="C64" s="413">
        <v>16</v>
      </c>
      <c r="D64" s="400">
        <v>1000</v>
      </c>
      <c r="E64" s="413">
        <v>184</v>
      </c>
      <c r="F64" s="400">
        <v>1273.695652173913</v>
      </c>
      <c r="G64" s="382"/>
      <c r="H64" s="380"/>
      <c r="I64" s="15"/>
    </row>
    <row r="65" spans="1:9" ht="12.75" customHeight="1">
      <c r="A65" s="389" t="s">
        <v>1218</v>
      </c>
      <c r="B65" s="380"/>
      <c r="C65" s="501">
        <v>0</v>
      </c>
      <c r="D65" s="404">
        <v>0</v>
      </c>
      <c r="E65" s="501">
        <v>12</v>
      </c>
      <c r="F65" s="404">
        <v>1212.5</v>
      </c>
      <c r="G65" s="382"/>
      <c r="H65" s="380"/>
      <c r="I65" s="15"/>
    </row>
    <row r="66" spans="1:9" ht="12.75" customHeight="1">
      <c r="A66" s="389" t="s">
        <v>304</v>
      </c>
      <c r="B66" s="380"/>
      <c r="C66" s="501">
        <v>16</v>
      </c>
      <c r="D66" s="404">
        <v>1000</v>
      </c>
      <c r="E66" s="501">
        <v>196</v>
      </c>
      <c r="F66" s="404">
        <v>1269.9489795918366</v>
      </c>
      <c r="G66" s="382"/>
      <c r="H66" s="380"/>
      <c r="I66" s="15"/>
    </row>
    <row r="67" spans="1:9" ht="12.75" customHeight="1">
      <c r="A67" s="389" t="s">
        <v>1226</v>
      </c>
      <c r="B67" s="380"/>
      <c r="C67" s="413">
        <v>289559.2</v>
      </c>
      <c r="D67" s="400">
        <v>133.46472569339878</v>
      </c>
      <c r="E67" s="413">
        <v>5830050.999999998</v>
      </c>
      <c r="F67" s="400">
        <v>176.99227291493682</v>
      </c>
      <c r="G67" s="382"/>
      <c r="H67" s="380"/>
      <c r="I67" s="15"/>
    </row>
    <row r="68" spans="1:9" ht="12.75" customHeight="1">
      <c r="A68" s="392" t="s">
        <v>1228</v>
      </c>
      <c r="B68" s="390"/>
      <c r="C68" s="393" t="s">
        <v>0</v>
      </c>
      <c r="D68" s="394" t="s">
        <v>1</v>
      </c>
      <c r="E68" s="393" t="s">
        <v>0</v>
      </c>
      <c r="F68" s="394" t="s">
        <v>1</v>
      </c>
      <c r="G68" s="382"/>
      <c r="H68" s="380"/>
      <c r="I68" s="15"/>
    </row>
    <row r="69" spans="1:9" ht="12.75" customHeight="1">
      <c r="A69" s="389" t="s">
        <v>278</v>
      </c>
      <c r="B69" s="380"/>
      <c r="C69" s="413">
        <v>0</v>
      </c>
      <c r="D69" s="400">
        <v>0</v>
      </c>
      <c r="E69" s="413">
        <v>1183</v>
      </c>
      <c r="F69" s="400">
        <v>217.62890955198648</v>
      </c>
      <c r="G69" s="382"/>
      <c r="H69" s="380"/>
      <c r="I69" s="15"/>
    </row>
    <row r="70" spans="1:9" ht="12.75" customHeight="1">
      <c r="A70" s="389" t="s">
        <v>294</v>
      </c>
      <c r="B70" s="380"/>
      <c r="C70" s="413">
        <v>0</v>
      </c>
      <c r="D70" s="400">
        <v>0</v>
      </c>
      <c r="E70" s="501">
        <v>497</v>
      </c>
      <c r="F70" s="404">
        <v>115</v>
      </c>
      <c r="G70" s="382"/>
      <c r="H70" s="380"/>
      <c r="I70" s="15"/>
    </row>
    <row r="71" spans="1:9" ht="12.75" customHeight="1">
      <c r="A71" s="389" t="s">
        <v>304</v>
      </c>
      <c r="B71" s="380"/>
      <c r="C71" s="501">
        <v>0</v>
      </c>
      <c r="D71" s="400">
        <v>0</v>
      </c>
      <c r="E71" s="554">
        <v>1680</v>
      </c>
      <c r="F71" s="400">
        <v>187.26785714285714</v>
      </c>
      <c r="H71" s="501"/>
      <c r="I71" s="15"/>
    </row>
    <row r="72" spans="1:9" ht="12.75" customHeight="1">
      <c r="A72" s="392" t="s">
        <v>308</v>
      </c>
      <c r="B72" s="390"/>
      <c r="C72" s="393">
        <v>289559.2</v>
      </c>
      <c r="D72" s="394">
        <v>133.46472569339878</v>
      </c>
      <c r="E72" s="393">
        <v>5831231.799999998</v>
      </c>
      <c r="F72" s="394">
        <v>176.99017564350643</v>
      </c>
      <c r="G72" s="502"/>
      <c r="H72" s="503"/>
      <c r="I72" s="15"/>
    </row>
    <row r="73" spans="1:10" ht="12.75" customHeight="1">
      <c r="A73" s="389"/>
      <c r="B73" s="499"/>
      <c r="C73" s="505" t="s">
        <v>1345</v>
      </c>
      <c r="D73" s="416"/>
      <c r="F73" s="415"/>
      <c r="H73" s="506" t="s">
        <v>1346</v>
      </c>
      <c r="I73" s="15"/>
      <c r="J73" s="552"/>
    </row>
    <row r="74" spans="1:10" ht="12.75" customHeight="1">
      <c r="A74" s="389" t="s">
        <v>40</v>
      </c>
      <c r="B74" s="504" t="s">
        <v>41</v>
      </c>
      <c r="C74" s="505" t="s">
        <v>0</v>
      </c>
      <c r="D74" s="411" t="s">
        <v>164</v>
      </c>
      <c r="E74" s="506" t="s">
        <v>41</v>
      </c>
      <c r="F74" s="410" t="s">
        <v>0</v>
      </c>
      <c r="G74" s="507" t="s">
        <v>164</v>
      </c>
      <c r="H74" s="508" t="s">
        <v>2</v>
      </c>
      <c r="I74" s="15"/>
      <c r="J74" s="552"/>
    </row>
    <row r="75" spans="1:10" ht="12.75" customHeight="1">
      <c r="A75" s="392" t="s">
        <v>42</v>
      </c>
      <c r="B75" s="499">
        <v>0</v>
      </c>
      <c r="C75" s="429">
        <v>0</v>
      </c>
      <c r="D75" s="416">
        <v>0</v>
      </c>
      <c r="E75" s="428">
        <v>5</v>
      </c>
      <c r="F75" s="415">
        <v>249.5</v>
      </c>
      <c r="G75" s="498">
        <v>210</v>
      </c>
      <c r="H75" s="500">
        <v>4.2786843081765337E-05</v>
      </c>
      <c r="I75" s="15"/>
      <c r="J75" s="552"/>
    </row>
    <row r="76" spans="1:9" ht="12.75" customHeight="1">
      <c r="A76" s="389" t="s">
        <v>43</v>
      </c>
      <c r="B76" s="390">
        <v>5806</v>
      </c>
      <c r="C76" s="393">
        <v>289559.2</v>
      </c>
      <c r="D76" s="394">
        <v>133.4647256933988</v>
      </c>
      <c r="E76" s="393">
        <v>116916</v>
      </c>
      <c r="F76" s="394">
        <v>5830982.299999999</v>
      </c>
      <c r="G76" s="502">
        <v>176.9887631968974</v>
      </c>
      <c r="H76" s="555">
        <v>0.9999572131569182</v>
      </c>
      <c r="I76" s="15"/>
    </row>
    <row r="77" spans="1:9" ht="12.75" customHeight="1">
      <c r="A77" s="395" t="s">
        <v>44</v>
      </c>
      <c r="B77" s="406">
        <v>5806</v>
      </c>
      <c r="C77" s="407">
        <v>289559.2</v>
      </c>
      <c r="D77" s="408">
        <v>133.4647256933988</v>
      </c>
      <c r="E77" s="409">
        <v>116921</v>
      </c>
      <c r="F77" s="394">
        <v>5831231.799999999</v>
      </c>
      <c r="G77" s="459">
        <v>176.99017564350643</v>
      </c>
      <c r="H77" s="472">
        <v>1</v>
      </c>
      <c r="I77" s="15"/>
    </row>
    <row r="78" spans="1:9" ht="12.75" customHeight="1">
      <c r="A78" s="395"/>
      <c r="B78" s="396"/>
      <c r="C78" s="397"/>
      <c r="D78" s="398"/>
      <c r="E78" s="399"/>
      <c r="F78" s="400"/>
      <c r="G78" s="444"/>
      <c r="H78" s="396"/>
      <c r="I78" s="15"/>
    </row>
    <row r="79" spans="1:9" ht="12.75" customHeight="1">
      <c r="A79" s="395"/>
      <c r="B79" s="396"/>
      <c r="C79" s="397"/>
      <c r="D79" s="398"/>
      <c r="E79" s="399"/>
      <c r="F79" s="400"/>
      <c r="G79" s="444"/>
      <c r="H79" s="396"/>
      <c r="I79" s="15"/>
    </row>
    <row r="80" spans="1:9" ht="12.75" customHeight="1">
      <c r="A80" s="395"/>
      <c r="B80" s="396"/>
      <c r="C80" s="397"/>
      <c r="D80" s="398"/>
      <c r="E80" s="399"/>
      <c r="F80" s="400"/>
      <c r="G80" s="444"/>
      <c r="H80" s="396"/>
      <c r="I80" s="15"/>
    </row>
    <row r="81" spans="1:9" ht="12.75" customHeight="1">
      <c r="A81" s="395"/>
      <c r="B81" s="396"/>
      <c r="C81" s="397"/>
      <c r="D81" s="398"/>
      <c r="E81" s="399"/>
      <c r="F81" s="400"/>
      <c r="G81" s="444"/>
      <c r="H81" s="396"/>
      <c r="I81" s="15"/>
    </row>
    <row r="82" spans="1:9" ht="12.75" customHeight="1">
      <c r="A82" s="395"/>
      <c r="B82" s="396"/>
      <c r="C82" s="397"/>
      <c r="D82" s="398"/>
      <c r="E82" s="399"/>
      <c r="F82" s="400"/>
      <c r="G82" s="444"/>
      <c r="H82" s="396"/>
      <c r="I82" s="15"/>
    </row>
    <row r="83" spans="1:9" ht="12.75" customHeight="1">
      <c r="A83" s="395"/>
      <c r="B83" s="396"/>
      <c r="C83" s="397"/>
      <c r="D83" s="398"/>
      <c r="E83" s="399"/>
      <c r="F83" s="400"/>
      <c r="G83" s="444"/>
      <c r="H83" s="396"/>
      <c r="I83" s="15"/>
    </row>
    <row r="84" spans="1:9" ht="12.75" customHeight="1">
      <c r="A84" s="395"/>
      <c r="B84" s="396"/>
      <c r="C84" s="397"/>
      <c r="D84" s="398"/>
      <c r="E84" s="399"/>
      <c r="F84" s="400"/>
      <c r="G84" s="444"/>
      <c r="H84" s="396"/>
      <c r="I84" s="15"/>
    </row>
    <row r="85" spans="1:9" ht="12.75" customHeight="1">
      <c r="A85" s="395"/>
      <c r="B85" s="396"/>
      <c r="C85" s="397"/>
      <c r="D85" s="398"/>
      <c r="E85" s="399"/>
      <c r="F85" s="400"/>
      <c r="G85" s="444"/>
      <c r="H85" s="396"/>
      <c r="I85" s="15"/>
    </row>
    <row r="86" spans="1:9" ht="12.75" customHeight="1">
      <c r="A86" s="395"/>
      <c r="B86" s="396"/>
      <c r="C86" s="397"/>
      <c r="D86" s="398"/>
      <c r="E86" s="399"/>
      <c r="F86" s="400"/>
      <c r="G86" s="444"/>
      <c r="H86" s="396"/>
      <c r="I86" s="15"/>
    </row>
    <row r="87" spans="1:9" ht="12.75" customHeight="1">
      <c r="A87" s="395"/>
      <c r="B87" s="396"/>
      <c r="C87" s="397"/>
      <c r="D87" s="398"/>
      <c r="E87" s="399"/>
      <c r="F87" s="400"/>
      <c r="G87" s="444"/>
      <c r="H87" s="396"/>
      <c r="I87" s="15"/>
    </row>
    <row r="88" spans="1:9" ht="12.75" customHeight="1">
      <c r="A88" s="395"/>
      <c r="B88" s="396"/>
      <c r="C88" s="397"/>
      <c r="D88" s="398"/>
      <c r="E88" s="399"/>
      <c r="F88" s="400"/>
      <c r="G88" s="444"/>
      <c r="H88" s="396"/>
      <c r="I88" s="15"/>
    </row>
    <row r="89" spans="1:9" ht="12.75" customHeight="1">
      <c r="A89" s="395"/>
      <c r="B89" s="396"/>
      <c r="C89" s="397"/>
      <c r="D89" s="398"/>
      <c r="E89" s="399"/>
      <c r="F89" s="400"/>
      <c r="G89" s="444"/>
      <c r="H89" s="396"/>
      <c r="I89" s="15"/>
    </row>
    <row r="90" spans="1:9" ht="12.75" customHeight="1">
      <c r="A90" s="395"/>
      <c r="B90" s="396"/>
      <c r="C90" s="397"/>
      <c r="D90" s="398"/>
      <c r="E90" s="399"/>
      <c r="F90" s="400"/>
      <c r="G90" s="444"/>
      <c r="H90" s="396"/>
      <c r="I90" s="15"/>
    </row>
    <row r="91" spans="1:9" ht="12.75" customHeight="1">
      <c r="A91" s="395"/>
      <c r="B91" s="396"/>
      <c r="C91" s="397"/>
      <c r="D91" s="398"/>
      <c r="E91" s="399"/>
      <c r="F91" s="400"/>
      <c r="G91" s="444"/>
      <c r="H91" s="396"/>
      <c r="I91" s="15"/>
    </row>
    <row r="92" spans="1:9" ht="12.75" customHeight="1">
      <c r="A92" s="395"/>
      <c r="B92" s="396"/>
      <c r="C92" s="397"/>
      <c r="D92" s="398"/>
      <c r="E92" s="399"/>
      <c r="F92" s="400"/>
      <c r="G92" s="444"/>
      <c r="H92" s="396"/>
      <c r="I92" s="15"/>
    </row>
    <row r="93" spans="1:9" ht="12.75" customHeight="1">
      <c r="A93" s="395"/>
      <c r="B93" s="396"/>
      <c r="C93" s="397"/>
      <c r="D93" s="398"/>
      <c r="E93" s="399"/>
      <c r="F93" s="400"/>
      <c r="G93" s="444"/>
      <c r="H93" s="396"/>
      <c r="I93" s="15"/>
    </row>
    <row r="94" spans="1:9" ht="12.75" customHeight="1">
      <c r="A94" s="395"/>
      <c r="B94" s="396"/>
      <c r="C94" s="397"/>
      <c r="D94" s="398"/>
      <c r="E94" s="399"/>
      <c r="F94" s="400"/>
      <c r="G94" s="444"/>
      <c r="H94" s="396"/>
      <c r="I94" s="15"/>
    </row>
    <row r="95" spans="1:9" ht="12.75" customHeight="1">
      <c r="A95" s="395"/>
      <c r="B95" s="396"/>
      <c r="C95" s="397"/>
      <c r="D95" s="398"/>
      <c r="E95" s="399"/>
      <c r="F95" s="400"/>
      <c r="G95" s="444"/>
      <c r="H95" s="396"/>
      <c r="I95" s="15"/>
    </row>
    <row r="96" spans="1:9" ht="12.75" customHeight="1">
      <c r="A96" s="395"/>
      <c r="B96" s="396"/>
      <c r="C96" s="397"/>
      <c r="D96" s="398"/>
      <c r="E96" s="399"/>
      <c r="F96" s="400"/>
      <c r="G96" s="444"/>
      <c r="H96" s="396"/>
      <c r="I96" s="15"/>
    </row>
    <row r="97" spans="1:9" ht="12.75" customHeight="1">
      <c r="A97" s="395"/>
      <c r="B97" s="396"/>
      <c r="C97" s="397"/>
      <c r="D97" s="398"/>
      <c r="E97" s="399"/>
      <c r="F97" s="400"/>
      <c r="G97" s="444"/>
      <c r="H97" s="396"/>
      <c r="I97" s="15"/>
    </row>
    <row r="98" spans="1:9" ht="12.75" customHeight="1">
      <c r="A98" s="395"/>
      <c r="B98" s="396"/>
      <c r="C98" s="397"/>
      <c r="D98" s="398"/>
      <c r="E98" s="399"/>
      <c r="F98" s="400"/>
      <c r="G98" s="444"/>
      <c r="H98" s="396"/>
      <c r="I98" s="15"/>
    </row>
    <row r="99" spans="1:9" ht="12.75" customHeight="1">
      <c r="A99" s="395"/>
      <c r="B99" s="396"/>
      <c r="C99" s="397"/>
      <c r="D99" s="398"/>
      <c r="E99" s="399"/>
      <c r="F99" s="400"/>
      <c r="G99" s="444"/>
      <c r="H99" s="396"/>
      <c r="I99" s="15"/>
    </row>
    <row r="100" spans="1:9" ht="12.75" customHeight="1">
      <c r="A100" s="395"/>
      <c r="B100" s="396"/>
      <c r="C100" s="397"/>
      <c r="D100" s="398"/>
      <c r="E100" s="399"/>
      <c r="F100" s="400"/>
      <c r="G100" s="444"/>
      <c r="H100" s="396"/>
      <c r="I100" s="15"/>
    </row>
    <row r="101" spans="1:9" ht="12.75" customHeight="1">
      <c r="A101" s="395"/>
      <c r="B101" s="396"/>
      <c r="C101" s="397"/>
      <c r="D101" s="398"/>
      <c r="E101" s="399"/>
      <c r="F101" s="400"/>
      <c r="G101" s="444"/>
      <c r="H101" s="396"/>
      <c r="I101" s="15"/>
    </row>
    <row r="102" spans="1:9" ht="12.75" customHeight="1">
      <c r="A102" s="395"/>
      <c r="B102" s="396"/>
      <c r="C102" s="397"/>
      <c r="D102" s="398"/>
      <c r="E102" s="399"/>
      <c r="F102" s="400"/>
      <c r="G102" s="444"/>
      <c r="H102" s="396"/>
      <c r="I102" s="15"/>
    </row>
    <row r="103" spans="1:9" ht="12.75" customHeight="1">
      <c r="A103" s="395"/>
      <c r="B103" s="396"/>
      <c r="C103" s="397"/>
      <c r="D103" s="398"/>
      <c r="E103" s="399"/>
      <c r="F103" s="400"/>
      <c r="G103" s="444"/>
      <c r="H103" s="396"/>
      <c r="I103" s="15"/>
    </row>
    <row r="104" spans="1:9" ht="12.75" customHeight="1">
      <c r="A104" s="395"/>
      <c r="B104" s="396"/>
      <c r="C104" s="397"/>
      <c r="D104" s="398"/>
      <c r="E104" s="399"/>
      <c r="F104" s="400"/>
      <c r="G104" s="444"/>
      <c r="H104" s="396"/>
      <c r="I104" s="15"/>
    </row>
    <row r="105" spans="1:9" ht="12.75" customHeight="1">
      <c r="A105" s="395"/>
      <c r="B105" s="396"/>
      <c r="C105" s="397"/>
      <c r="D105" s="398"/>
      <c r="E105" s="399"/>
      <c r="F105" s="400"/>
      <c r="G105" s="444"/>
      <c r="H105" s="396"/>
      <c r="I105" s="15"/>
    </row>
    <row r="106" spans="1:9" ht="12.75" customHeight="1">
      <c r="A106" s="395"/>
      <c r="B106" s="396"/>
      <c r="C106" s="397"/>
      <c r="D106" s="398"/>
      <c r="E106" s="399"/>
      <c r="F106" s="400"/>
      <c r="G106" s="444"/>
      <c r="H106" s="396"/>
      <c r="I106" s="15"/>
    </row>
    <row r="107" spans="1:9" ht="12.75" customHeight="1">
      <c r="A107" s="395"/>
      <c r="B107" s="396"/>
      <c r="C107" s="397"/>
      <c r="D107" s="398"/>
      <c r="E107" s="399"/>
      <c r="F107" s="400"/>
      <c r="G107" s="444"/>
      <c r="H107" s="396"/>
      <c r="I107" s="15"/>
    </row>
    <row r="108" spans="1:9" ht="12.75" customHeight="1">
      <c r="A108" s="395"/>
      <c r="B108" s="396"/>
      <c r="C108" s="397"/>
      <c r="D108" s="398"/>
      <c r="E108" s="399"/>
      <c r="F108" s="400"/>
      <c r="G108" s="444"/>
      <c r="H108" s="396"/>
      <c r="I108" s="15"/>
    </row>
    <row r="109" spans="1:9" ht="12.75" customHeight="1">
      <c r="A109" s="395"/>
      <c r="B109" s="396"/>
      <c r="C109" s="397"/>
      <c r="D109" s="398"/>
      <c r="E109" s="399"/>
      <c r="F109" s="400"/>
      <c r="G109" s="444"/>
      <c r="H109" s="396"/>
      <c r="I109" s="15"/>
    </row>
    <row r="110" spans="1:9" ht="12.75" customHeight="1">
      <c r="A110" s="395"/>
      <c r="B110" s="396"/>
      <c r="C110" s="397"/>
      <c r="D110" s="398"/>
      <c r="E110" s="399"/>
      <c r="F110" s="400"/>
      <c r="G110" s="444"/>
      <c r="H110" s="396"/>
      <c r="I110" s="15"/>
    </row>
    <row r="111" spans="1:9" ht="12.75" customHeight="1">
      <c r="A111" s="395"/>
      <c r="B111" s="396"/>
      <c r="C111" s="397"/>
      <c r="D111" s="398"/>
      <c r="E111" s="399"/>
      <c r="F111" s="400"/>
      <c r="G111" s="444"/>
      <c r="H111" s="396"/>
      <c r="I111" s="15"/>
    </row>
    <row r="112" spans="1:9" ht="12.75" customHeight="1">
      <c r="A112" s="395"/>
      <c r="B112" s="396"/>
      <c r="C112" s="397"/>
      <c r="D112" s="398"/>
      <c r="E112" s="399"/>
      <c r="F112" s="400"/>
      <c r="G112" s="444"/>
      <c r="H112" s="396"/>
      <c r="I112" s="15"/>
    </row>
    <row r="113" spans="1:9" ht="12.75" customHeight="1">
      <c r="A113" s="395"/>
      <c r="B113" s="396"/>
      <c r="C113" s="397"/>
      <c r="D113" s="398"/>
      <c r="E113" s="399"/>
      <c r="F113" s="400"/>
      <c r="G113" s="444"/>
      <c r="H113" s="396"/>
      <c r="I113" s="15"/>
    </row>
    <row r="114" spans="1:9" ht="12.75" customHeight="1">
      <c r="A114" s="395"/>
      <c r="B114" s="396"/>
      <c r="C114" s="397"/>
      <c r="D114" s="398"/>
      <c r="E114" s="399"/>
      <c r="F114" s="400"/>
      <c r="G114" s="444"/>
      <c r="H114" s="396"/>
      <c r="I114" s="15"/>
    </row>
    <row r="115" spans="1:9" ht="12.75" customHeight="1">
      <c r="A115" s="395"/>
      <c r="B115" s="396"/>
      <c r="C115" s="397"/>
      <c r="D115" s="398"/>
      <c r="E115" s="399"/>
      <c r="F115" s="400"/>
      <c r="G115" s="444"/>
      <c r="H115" s="396"/>
      <c r="I115" s="15"/>
    </row>
    <row r="116" spans="1:9" ht="12.75" customHeight="1">
      <c r="A116" s="395"/>
      <c r="B116" s="396"/>
      <c r="C116" s="397"/>
      <c r="D116" s="398"/>
      <c r="E116" s="399"/>
      <c r="F116" s="400"/>
      <c r="G116" s="444"/>
      <c r="H116" s="396"/>
      <c r="I116" s="15"/>
    </row>
    <row r="117" spans="1:9" ht="12.75" customHeight="1">
      <c r="A117" s="395"/>
      <c r="B117" s="396"/>
      <c r="C117" s="397"/>
      <c r="D117" s="398"/>
      <c r="E117" s="399"/>
      <c r="F117" s="400"/>
      <c r="G117" s="444"/>
      <c r="H117" s="396"/>
      <c r="I117" s="15"/>
    </row>
    <row r="118" spans="1:9" ht="12.75" customHeight="1">
      <c r="A118" s="395"/>
      <c r="B118" s="396"/>
      <c r="C118" s="397"/>
      <c r="D118" s="398"/>
      <c r="E118" s="397"/>
      <c r="F118" s="400"/>
      <c r="G118" s="444"/>
      <c r="H118" s="396"/>
      <c r="I118" s="15"/>
    </row>
    <row r="119" spans="1:9" ht="12.75" customHeight="1">
      <c r="A119" s="395"/>
      <c r="B119" s="406"/>
      <c r="C119" s="397"/>
      <c r="D119" s="398"/>
      <c r="E119" s="399"/>
      <c r="F119" s="400"/>
      <c r="G119" s="444"/>
      <c r="H119" s="396"/>
      <c r="I119" s="15"/>
    </row>
    <row r="120" spans="1:9" ht="12.75" customHeight="1">
      <c r="A120" s="395"/>
      <c r="B120" s="406"/>
      <c r="C120" s="407"/>
      <c r="D120" s="408"/>
      <c r="E120" s="409"/>
      <c r="F120" s="394"/>
      <c r="G120" s="444"/>
      <c r="H120" s="396"/>
      <c r="I120" s="15"/>
    </row>
    <row r="121" spans="1:9" ht="12.75" customHeight="1">
      <c r="A121" s="395"/>
      <c r="B121" s="406"/>
      <c r="C121" s="407"/>
      <c r="D121" s="408"/>
      <c r="E121" s="409"/>
      <c r="F121" s="394"/>
      <c r="G121" s="444"/>
      <c r="H121" s="396"/>
      <c r="I121" s="15"/>
    </row>
    <row r="122" spans="1:9" ht="12.75" customHeight="1">
      <c r="A122" s="405"/>
      <c r="B122" s="406"/>
      <c r="C122" s="407"/>
      <c r="D122" s="408"/>
      <c r="E122" s="409"/>
      <c r="F122" s="394"/>
      <c r="G122" s="444"/>
      <c r="H122" s="396"/>
      <c r="I122" s="15"/>
    </row>
    <row r="123" spans="1:9" ht="12.75" customHeight="1">
      <c r="A123" s="405"/>
      <c r="B123" s="406"/>
      <c r="C123" s="407"/>
      <c r="D123" s="408"/>
      <c r="E123" s="409"/>
      <c r="F123" s="394"/>
      <c r="G123" s="444"/>
      <c r="H123" s="396"/>
      <c r="I123" s="15"/>
    </row>
    <row r="124" spans="1:9" ht="12.75" customHeight="1">
      <c r="A124" s="395"/>
      <c r="B124" s="396"/>
      <c r="C124" s="397"/>
      <c r="D124" s="398"/>
      <c r="E124" s="399"/>
      <c r="F124" s="400"/>
      <c r="G124" s="444"/>
      <c r="H124" s="396"/>
      <c r="I124" s="15"/>
    </row>
    <row r="125" spans="1:9" ht="12.75" customHeight="1">
      <c r="A125" s="395"/>
      <c r="B125" s="396"/>
      <c r="C125" s="397"/>
      <c r="D125" s="398"/>
      <c r="E125" s="399"/>
      <c r="F125" s="400"/>
      <c r="G125" s="444"/>
      <c r="H125" s="396"/>
      <c r="I125" s="15"/>
    </row>
    <row r="126" spans="1:9" ht="12.75" customHeight="1">
      <c r="A126" s="395"/>
      <c r="B126" s="406"/>
      <c r="C126" s="397"/>
      <c r="D126" s="398"/>
      <c r="E126" s="409"/>
      <c r="F126" s="394"/>
      <c r="G126" s="444"/>
      <c r="H126" s="396"/>
      <c r="I126" s="15"/>
    </row>
    <row r="127" spans="1:9" ht="12.75" customHeight="1">
      <c r="A127" s="395"/>
      <c r="B127" s="406"/>
      <c r="C127" s="407"/>
      <c r="D127" s="408"/>
      <c r="E127" s="409"/>
      <c r="F127" s="394"/>
      <c r="G127" s="444"/>
      <c r="H127" s="396"/>
      <c r="I127" s="15"/>
    </row>
    <row r="128" spans="1:9" ht="12.75" customHeight="1">
      <c r="A128" s="405"/>
      <c r="B128" s="396"/>
      <c r="C128" s="401"/>
      <c r="D128" s="402"/>
      <c r="E128" s="403"/>
      <c r="F128" s="404"/>
      <c r="G128" s="444"/>
      <c r="H128" s="396"/>
      <c r="I128" s="15"/>
    </row>
    <row r="129" spans="1:9" ht="12.75" customHeight="1">
      <c r="A129" s="405"/>
      <c r="B129" s="406"/>
      <c r="C129" s="407"/>
      <c r="D129" s="408"/>
      <c r="E129" s="409"/>
      <c r="F129" s="394"/>
      <c r="G129" s="444"/>
      <c r="H129" s="396"/>
      <c r="I129" s="15"/>
    </row>
    <row r="130" spans="1:9" ht="12.75" customHeight="1">
      <c r="A130" s="395"/>
      <c r="B130" s="406"/>
      <c r="C130" s="397"/>
      <c r="D130" s="398"/>
      <c r="E130" s="399"/>
      <c r="F130" s="400"/>
      <c r="G130" s="444"/>
      <c r="H130" s="399"/>
      <c r="I130" s="15"/>
    </row>
    <row r="131" spans="1:9" ht="12.75" customHeight="1">
      <c r="A131" s="395"/>
      <c r="B131" s="441"/>
      <c r="C131" s="399"/>
      <c r="D131" s="400"/>
      <c r="E131" s="403"/>
      <c r="F131" s="404"/>
      <c r="G131" s="414"/>
      <c r="H131" s="399"/>
      <c r="I131" s="15"/>
    </row>
    <row r="132" spans="1:9" ht="12.75" customHeight="1">
      <c r="A132" s="395"/>
      <c r="B132" s="441"/>
      <c r="C132" s="409"/>
      <c r="D132" s="394"/>
      <c r="E132" s="409"/>
      <c r="F132" s="394"/>
      <c r="G132" s="414"/>
      <c r="H132" s="399"/>
      <c r="I132" s="15"/>
    </row>
    <row r="133" spans="1:9" ht="12.75" customHeight="1">
      <c r="A133" s="405"/>
      <c r="B133" s="441"/>
      <c r="C133" s="409"/>
      <c r="D133" s="394"/>
      <c r="E133" s="451"/>
      <c r="F133" s="425"/>
      <c r="G133" s="396"/>
      <c r="H133" s="414"/>
      <c r="I133" s="15"/>
    </row>
    <row r="134" spans="1:9" ht="12.75" customHeight="1">
      <c r="A134" s="405"/>
      <c r="B134" s="441"/>
      <c r="C134" s="409"/>
      <c r="D134" s="394"/>
      <c r="E134" s="424"/>
      <c r="F134" s="425"/>
      <c r="G134" s="414"/>
      <c r="H134" s="399"/>
      <c r="I134" s="15"/>
    </row>
    <row r="135" spans="1:9" ht="12.75" customHeight="1">
      <c r="A135" s="454"/>
      <c r="B135" s="481"/>
      <c r="C135" s="482"/>
      <c r="D135" s="483"/>
      <c r="E135" s="484"/>
      <c r="F135" s="485"/>
      <c r="G135" s="445"/>
      <c r="H135" s="442"/>
      <c r="I135" s="15"/>
    </row>
    <row r="136" spans="1:9" ht="12.75" customHeight="1">
      <c r="A136" s="454"/>
      <c r="B136" s="443"/>
      <c r="C136" s="482"/>
      <c r="D136" s="483"/>
      <c r="E136" s="452"/>
      <c r="F136" s="453"/>
      <c r="G136" s="446"/>
      <c r="H136" s="447"/>
      <c r="I136" s="15"/>
    </row>
    <row r="137" spans="1:9" ht="12.75" customHeight="1">
      <c r="A137" s="395"/>
      <c r="B137" s="442"/>
      <c r="C137" s="403"/>
      <c r="D137" s="404"/>
      <c r="E137" s="486"/>
      <c r="F137" s="471"/>
      <c r="G137" s="56"/>
      <c r="H137" s="448"/>
      <c r="I137" s="15"/>
    </row>
    <row r="138" spans="1:9" ht="12.75" customHeight="1">
      <c r="A138" s="434"/>
      <c r="B138" s="455"/>
      <c r="C138" s="456"/>
      <c r="D138" s="457"/>
      <c r="E138" s="455"/>
      <c r="F138" s="487"/>
      <c r="G138" s="457"/>
      <c r="H138" s="458"/>
      <c r="I138" s="15"/>
    </row>
    <row r="139" spans="1:9" ht="12.75" customHeight="1">
      <c r="A139" s="434"/>
      <c r="B139" s="462"/>
      <c r="C139" s="492"/>
      <c r="D139" s="460"/>
      <c r="E139" s="493"/>
      <c r="F139" s="461"/>
      <c r="G139" s="449"/>
      <c r="H139" s="450"/>
      <c r="I139" s="15"/>
    </row>
    <row r="140" spans="1:9" ht="12.75" customHeight="1">
      <c r="A140" s="395"/>
      <c r="B140" s="494"/>
      <c r="C140" s="473"/>
      <c r="D140" s="495"/>
      <c r="E140" s="494"/>
      <c r="F140" s="473"/>
      <c r="G140" s="496"/>
      <c r="H140" s="497"/>
      <c r="I140" s="15"/>
    </row>
    <row r="141" spans="1:9" ht="12.75" customHeight="1">
      <c r="A141" s="395"/>
      <c r="B141" s="488"/>
      <c r="C141" s="489"/>
      <c r="D141" s="490"/>
      <c r="E141" s="419"/>
      <c r="F141" s="415"/>
      <c r="G141" s="444"/>
      <c r="H141" s="491"/>
      <c r="I141" s="15"/>
    </row>
    <row r="142" spans="1:9" ht="12.75" customHeight="1">
      <c r="A142" s="395"/>
      <c r="B142" s="406"/>
      <c r="C142" s="463"/>
      <c r="D142" s="408"/>
      <c r="E142" s="409"/>
      <c r="F142" s="424"/>
      <c r="G142" s="459"/>
      <c r="H142" s="472"/>
      <c r="I142" s="15"/>
    </row>
    <row r="143" spans="1:9" ht="12.75" customHeight="1">
      <c r="A143" s="395"/>
      <c r="B143" s="406"/>
      <c r="C143" s="463"/>
      <c r="D143" s="408"/>
      <c r="E143" s="409"/>
      <c r="F143" s="424"/>
      <c r="G143" s="459"/>
      <c r="H143" s="472"/>
      <c r="I143" s="15"/>
    </row>
    <row r="144" spans="1:9" ht="12.75" customHeight="1">
      <c r="A144" s="395"/>
      <c r="B144" s="396"/>
      <c r="C144" s="397"/>
      <c r="D144" s="398"/>
      <c r="E144" s="399"/>
      <c r="F144" s="400"/>
      <c r="G144" s="382"/>
      <c r="H144" s="380"/>
      <c r="I144" s="15"/>
    </row>
    <row r="145" spans="1:9" ht="12.75" customHeight="1">
      <c r="A145" s="395"/>
      <c r="B145" s="396"/>
      <c r="C145" s="397"/>
      <c r="D145" s="398"/>
      <c r="E145" s="399"/>
      <c r="F145" s="400"/>
      <c r="G145" s="382"/>
      <c r="H145" s="380"/>
      <c r="I145" s="15"/>
    </row>
    <row r="146" spans="1:9" ht="12.75" customHeight="1">
      <c r="A146" s="395"/>
      <c r="B146" s="396"/>
      <c r="C146" s="397"/>
      <c r="D146" s="398"/>
      <c r="E146" s="399"/>
      <c r="F146" s="400"/>
      <c r="G146" s="382"/>
      <c r="H146" s="380"/>
      <c r="I146" s="15"/>
    </row>
    <row r="147" spans="1:9" ht="12.75" customHeight="1">
      <c r="A147" s="395"/>
      <c r="B147" s="396"/>
      <c r="C147" s="397"/>
      <c r="D147" s="398"/>
      <c r="E147" s="399"/>
      <c r="F147" s="400"/>
      <c r="G147" s="382"/>
      <c r="H147" s="380"/>
      <c r="I147" s="15"/>
    </row>
    <row r="148" spans="1:9" ht="12.75" customHeight="1">
      <c r="A148" s="395"/>
      <c r="B148" s="396"/>
      <c r="C148" s="397"/>
      <c r="D148" s="398"/>
      <c r="E148" s="399"/>
      <c r="F148" s="400"/>
      <c r="G148" s="382"/>
      <c r="H148" s="380"/>
      <c r="I148" s="15"/>
    </row>
    <row r="149" spans="1:9" ht="12.75" customHeight="1">
      <c r="A149" s="395"/>
      <c r="B149" s="396"/>
      <c r="C149" s="397"/>
      <c r="D149" s="398"/>
      <c r="E149" s="399"/>
      <c r="F149" s="400"/>
      <c r="G149" s="382"/>
      <c r="H149" s="380"/>
      <c r="I149" s="15"/>
    </row>
    <row r="150" spans="1:9" ht="12.75" customHeight="1">
      <c r="A150" s="395"/>
      <c r="B150" s="396"/>
      <c r="C150" s="397"/>
      <c r="D150" s="398"/>
      <c r="E150" s="399"/>
      <c r="F150" s="400"/>
      <c r="G150" s="382"/>
      <c r="H150" s="380"/>
      <c r="I150" s="15"/>
    </row>
    <row r="151" spans="1:9" ht="12.75" customHeight="1">
      <c r="A151" s="395"/>
      <c r="B151" s="396"/>
      <c r="C151" s="397"/>
      <c r="D151" s="398"/>
      <c r="E151" s="399"/>
      <c r="F151" s="400"/>
      <c r="G151" s="382"/>
      <c r="H151" s="380"/>
      <c r="I151" s="15"/>
    </row>
    <row r="152" spans="1:9" ht="12.75" customHeight="1">
      <c r="A152" s="395"/>
      <c r="B152" s="396"/>
      <c r="C152" s="397"/>
      <c r="D152" s="398"/>
      <c r="E152" s="399"/>
      <c r="F152" s="400"/>
      <c r="G152" s="382"/>
      <c r="H152" s="380"/>
      <c r="I152" s="15"/>
    </row>
    <row r="153" spans="1:9" ht="12.75" customHeight="1">
      <c r="A153" s="395"/>
      <c r="B153" s="396"/>
      <c r="C153" s="397"/>
      <c r="D153" s="398"/>
      <c r="E153" s="399"/>
      <c r="F153" s="400"/>
      <c r="G153" s="382"/>
      <c r="H153" s="380"/>
      <c r="I153" s="15"/>
    </row>
    <row r="154" spans="1:9" ht="12.75" customHeight="1">
      <c r="A154" s="395"/>
      <c r="B154" s="396"/>
      <c r="C154" s="397"/>
      <c r="D154" s="398"/>
      <c r="E154" s="399"/>
      <c r="F154" s="400"/>
      <c r="G154" s="382"/>
      <c r="H154" s="380"/>
      <c r="I154" s="15"/>
    </row>
    <row r="155" spans="1:9" ht="12.75" customHeight="1">
      <c r="A155" s="395"/>
      <c r="B155" s="396"/>
      <c r="C155" s="397"/>
      <c r="D155" s="398"/>
      <c r="E155" s="399"/>
      <c r="F155" s="400"/>
      <c r="G155" s="382"/>
      <c r="H155" s="380"/>
      <c r="I155" s="15"/>
    </row>
    <row r="156" spans="1:9" ht="12.75" customHeight="1">
      <c r="A156" s="395"/>
      <c r="B156" s="396"/>
      <c r="C156" s="397"/>
      <c r="D156" s="398"/>
      <c r="E156" s="399"/>
      <c r="F156" s="400"/>
      <c r="G156" s="382"/>
      <c r="H156" s="380"/>
      <c r="I156" s="15"/>
    </row>
    <row r="157" spans="1:9" ht="12.75" customHeight="1">
      <c r="A157" s="395"/>
      <c r="B157" s="396"/>
      <c r="C157" s="397"/>
      <c r="D157" s="398"/>
      <c r="E157" s="399"/>
      <c r="F157" s="400"/>
      <c r="G157" s="382"/>
      <c r="H157" s="380"/>
      <c r="I157" s="15"/>
    </row>
    <row r="158" spans="1:9" ht="12.75" customHeight="1">
      <c r="A158" s="395"/>
      <c r="B158" s="396"/>
      <c r="C158" s="397"/>
      <c r="D158" s="398"/>
      <c r="E158" s="399"/>
      <c r="F158" s="400"/>
      <c r="G158" s="382"/>
      <c r="H158" s="380"/>
      <c r="I158" s="15"/>
    </row>
    <row r="159" spans="1:9" ht="12.75" customHeight="1">
      <c r="A159" s="395"/>
      <c r="B159" s="396"/>
      <c r="C159" s="397"/>
      <c r="D159" s="398"/>
      <c r="E159" s="399"/>
      <c r="F159" s="400"/>
      <c r="G159" s="382"/>
      <c r="H159" s="380"/>
      <c r="I159" s="15"/>
    </row>
    <row r="160" spans="1:9" ht="12.75" customHeight="1">
      <c r="A160" s="395"/>
      <c r="B160" s="396"/>
      <c r="C160" s="397"/>
      <c r="D160" s="398"/>
      <c r="E160" s="399"/>
      <c r="F160" s="400"/>
      <c r="G160" s="382"/>
      <c r="H160" s="380"/>
      <c r="I160" s="15"/>
    </row>
    <row r="161" spans="1:9" ht="12.75" customHeight="1">
      <c r="A161" s="395"/>
      <c r="B161" s="396"/>
      <c r="C161" s="397"/>
      <c r="D161" s="398"/>
      <c r="E161" s="399"/>
      <c r="F161" s="400"/>
      <c r="G161" s="382"/>
      <c r="H161" s="380"/>
      <c r="I161" s="15"/>
    </row>
    <row r="162" spans="1:9" ht="12.75" customHeight="1">
      <c r="A162" s="395"/>
      <c r="B162" s="396"/>
      <c r="C162" s="397"/>
      <c r="D162" s="398"/>
      <c r="E162" s="399"/>
      <c r="F162" s="400"/>
      <c r="G162" s="382"/>
      <c r="H162" s="380"/>
      <c r="I162" s="15"/>
    </row>
    <row r="163" spans="1:9" ht="12.75" customHeight="1">
      <c r="A163" s="395"/>
      <c r="B163" s="396"/>
      <c r="C163" s="397"/>
      <c r="D163" s="398"/>
      <c r="E163" s="399"/>
      <c r="F163" s="400"/>
      <c r="G163" s="382"/>
      <c r="H163" s="380"/>
      <c r="I163" s="15"/>
    </row>
    <row r="164" spans="1:9" ht="12.75" customHeight="1">
      <c r="A164" s="395"/>
      <c r="B164" s="396"/>
      <c r="C164" s="397"/>
      <c r="D164" s="398"/>
      <c r="E164" s="399"/>
      <c r="F164" s="400"/>
      <c r="G164" s="382"/>
      <c r="H164" s="380"/>
      <c r="I164" s="15"/>
    </row>
    <row r="165" spans="1:9" ht="12.75" customHeight="1">
      <c r="A165" s="395"/>
      <c r="B165" s="396"/>
      <c r="C165" s="397"/>
      <c r="D165" s="398"/>
      <c r="E165" s="399"/>
      <c r="F165" s="400"/>
      <c r="G165" s="382"/>
      <c r="H165" s="380"/>
      <c r="I165" s="15"/>
    </row>
    <row r="166" spans="1:9" ht="12.75" customHeight="1">
      <c r="A166" s="395"/>
      <c r="B166" s="396"/>
      <c r="C166" s="397"/>
      <c r="D166" s="398"/>
      <c r="E166" s="399"/>
      <c r="F166" s="400"/>
      <c r="G166" s="382"/>
      <c r="H166" s="380"/>
      <c r="I166" s="15"/>
    </row>
    <row r="167" spans="1:9" ht="12.75" customHeight="1">
      <c r="A167" s="395"/>
      <c r="B167" s="396"/>
      <c r="C167" s="397"/>
      <c r="D167" s="398"/>
      <c r="E167" s="399"/>
      <c r="F167" s="400"/>
      <c r="G167" s="382"/>
      <c r="H167" s="380"/>
      <c r="I167" s="15"/>
    </row>
    <row r="168" spans="1:9" ht="12.75" customHeight="1">
      <c r="A168" s="395"/>
      <c r="B168" s="396"/>
      <c r="C168" s="397"/>
      <c r="D168" s="398"/>
      <c r="E168" s="399"/>
      <c r="F168" s="400"/>
      <c r="G168" s="382"/>
      <c r="H168" s="380"/>
      <c r="I168" s="15"/>
    </row>
    <row r="169" spans="1:9" ht="12.75" customHeight="1">
      <c r="A169" s="395"/>
      <c r="B169" s="396"/>
      <c r="C169" s="397"/>
      <c r="D169" s="398"/>
      <c r="E169" s="399"/>
      <c r="F169" s="400"/>
      <c r="G169" s="382"/>
      <c r="H169" s="380"/>
      <c r="I169" s="15"/>
    </row>
    <row r="170" spans="1:9" ht="12.75" customHeight="1">
      <c r="A170" s="395"/>
      <c r="B170" s="396"/>
      <c r="C170" s="397"/>
      <c r="D170" s="398"/>
      <c r="E170" s="399"/>
      <c r="F170" s="400"/>
      <c r="G170" s="382"/>
      <c r="H170" s="380"/>
      <c r="I170" s="15"/>
    </row>
    <row r="171" spans="1:9" ht="12.75" customHeight="1">
      <c r="A171" s="395"/>
      <c r="B171" s="396"/>
      <c r="C171" s="397"/>
      <c r="D171" s="398"/>
      <c r="E171" s="399"/>
      <c r="F171" s="400"/>
      <c r="G171" s="382"/>
      <c r="H171" s="380"/>
      <c r="I171" s="15"/>
    </row>
    <row r="172" spans="1:9" ht="12.75" customHeight="1">
      <c r="A172" s="395"/>
      <c r="B172" s="396"/>
      <c r="C172" s="397"/>
      <c r="D172" s="398"/>
      <c r="E172" s="399"/>
      <c r="F172" s="400"/>
      <c r="G172" s="382"/>
      <c r="H172" s="380"/>
      <c r="I172" s="15"/>
    </row>
    <row r="173" spans="1:9" ht="12.75" customHeight="1">
      <c r="A173" s="395"/>
      <c r="B173" s="396"/>
      <c r="C173" s="397"/>
      <c r="D173" s="398"/>
      <c r="E173" s="399"/>
      <c r="F173" s="400"/>
      <c r="G173" s="382"/>
      <c r="H173" s="380"/>
      <c r="I173" s="15"/>
    </row>
    <row r="174" spans="1:9" ht="12.75" customHeight="1">
      <c r="A174" s="395"/>
      <c r="B174" s="396"/>
      <c r="C174" s="397"/>
      <c r="D174" s="398"/>
      <c r="E174" s="399"/>
      <c r="F174" s="400"/>
      <c r="G174" s="382"/>
      <c r="H174" s="380"/>
      <c r="I174" s="15"/>
    </row>
    <row r="175" spans="1:9" ht="12.75" customHeight="1">
      <c r="A175" s="395"/>
      <c r="B175" s="396"/>
      <c r="C175" s="397"/>
      <c r="D175" s="398"/>
      <c r="E175" s="399"/>
      <c r="F175" s="400"/>
      <c r="G175" s="382"/>
      <c r="H175" s="380"/>
      <c r="I175" s="15"/>
    </row>
    <row r="176" spans="1:9" ht="12.75" customHeight="1">
      <c r="A176" s="395"/>
      <c r="B176" s="396"/>
      <c r="C176" s="397"/>
      <c r="D176" s="398"/>
      <c r="E176" s="399"/>
      <c r="F176" s="400"/>
      <c r="G176" s="382"/>
      <c r="H176" s="380"/>
      <c r="I176" s="15"/>
    </row>
    <row r="177" spans="1:9" ht="12.75" customHeight="1">
      <c r="A177" s="395"/>
      <c r="B177" s="396"/>
      <c r="C177" s="397"/>
      <c r="D177" s="398"/>
      <c r="E177" s="399"/>
      <c r="F177" s="400"/>
      <c r="G177" s="382"/>
      <c r="H177" s="380"/>
      <c r="I177" s="15"/>
    </row>
    <row r="178" spans="1:9" ht="12.75" customHeight="1">
      <c r="A178" s="395"/>
      <c r="B178" s="396"/>
      <c r="C178" s="397"/>
      <c r="D178" s="398"/>
      <c r="E178" s="399"/>
      <c r="F178" s="400"/>
      <c r="G178" s="382"/>
      <c r="H178" s="380"/>
      <c r="I178" s="15"/>
    </row>
    <row r="179" spans="1:9" ht="12.75" customHeight="1">
      <c r="A179" s="395"/>
      <c r="B179" s="396"/>
      <c r="C179" s="397"/>
      <c r="D179" s="398"/>
      <c r="E179" s="399"/>
      <c r="F179" s="400"/>
      <c r="G179" s="382"/>
      <c r="H179" s="380"/>
      <c r="I179" s="15"/>
    </row>
    <row r="180" spans="1:9" ht="12.75" customHeight="1">
      <c r="A180" s="395"/>
      <c r="B180" s="396"/>
      <c r="C180" s="401"/>
      <c r="D180" s="402"/>
      <c r="E180" s="403"/>
      <c r="F180" s="404"/>
      <c r="G180" s="382"/>
      <c r="H180" s="380"/>
      <c r="I180" s="15"/>
    </row>
    <row r="181" spans="1:9" ht="12.75" customHeight="1">
      <c r="A181" s="395"/>
      <c r="B181" s="396"/>
      <c r="C181" s="401"/>
      <c r="D181" s="402"/>
      <c r="E181" s="401"/>
      <c r="F181" s="404"/>
      <c r="G181" s="382"/>
      <c r="H181" s="380"/>
      <c r="I181" s="15"/>
    </row>
    <row r="182" spans="1:9" ht="12.75" customHeight="1">
      <c r="A182" s="405"/>
      <c r="B182" s="406"/>
      <c r="C182" s="407"/>
      <c r="D182" s="408"/>
      <c r="E182" s="409"/>
      <c r="F182" s="394"/>
      <c r="G182" s="382"/>
      <c r="H182" s="380"/>
      <c r="I182" s="15"/>
    </row>
    <row r="183" spans="1:9" ht="12.75" customHeight="1">
      <c r="A183" s="395"/>
      <c r="B183" s="396"/>
      <c r="C183" s="397"/>
      <c r="D183" s="398"/>
      <c r="E183" s="399"/>
      <c r="F183" s="400"/>
      <c r="G183" s="382"/>
      <c r="H183" s="380"/>
      <c r="I183" s="15"/>
    </row>
    <row r="184" spans="1:9" ht="12.75" customHeight="1">
      <c r="A184" s="395"/>
      <c r="B184" s="396"/>
      <c r="C184" s="397"/>
      <c r="D184" s="398"/>
      <c r="E184" s="399"/>
      <c r="F184" s="400"/>
      <c r="G184" s="382"/>
      <c r="H184" s="380"/>
      <c r="I184" s="15"/>
    </row>
    <row r="185" spans="1:9" ht="12.75" customHeight="1">
      <c r="A185" s="395"/>
      <c r="B185" s="396"/>
      <c r="C185" s="397"/>
      <c r="D185" s="398"/>
      <c r="E185" s="403"/>
      <c r="F185" s="404"/>
      <c r="G185" s="382"/>
      <c r="H185" s="380"/>
      <c r="I185" s="15"/>
    </row>
    <row r="186" spans="1:9" ht="12.75" customHeight="1">
      <c r="A186" s="395"/>
      <c r="B186" s="396"/>
      <c r="C186" s="401"/>
      <c r="D186" s="402"/>
      <c r="E186" s="403"/>
      <c r="F186" s="404"/>
      <c r="G186" s="382"/>
      <c r="H186" s="380"/>
      <c r="I186" s="15"/>
    </row>
    <row r="187" spans="1:9" ht="12.75" customHeight="1">
      <c r="A187" s="395"/>
      <c r="B187" s="396"/>
      <c r="C187" s="401"/>
      <c r="D187" s="402"/>
      <c r="E187" s="403"/>
      <c r="F187" s="404"/>
      <c r="G187" s="382"/>
      <c r="H187" s="380"/>
      <c r="I187" s="15"/>
    </row>
    <row r="188" spans="1:9" ht="12.75" customHeight="1">
      <c r="A188" s="395"/>
      <c r="B188" s="396"/>
      <c r="C188" s="407"/>
      <c r="D188" s="408"/>
      <c r="E188" s="409"/>
      <c r="F188" s="394"/>
      <c r="G188" s="382"/>
      <c r="H188" s="380"/>
      <c r="I188" s="15"/>
    </row>
    <row r="189" spans="1:9" ht="12.75" customHeight="1">
      <c r="A189" s="395"/>
      <c r="B189" s="396"/>
      <c r="C189" s="397"/>
      <c r="D189" s="398"/>
      <c r="E189" s="399"/>
      <c r="F189" s="400"/>
      <c r="G189" s="382"/>
      <c r="H189" s="380"/>
      <c r="I189" s="15"/>
    </row>
    <row r="190" spans="1:9" ht="12.75" customHeight="1">
      <c r="A190" s="395"/>
      <c r="B190" s="396"/>
      <c r="C190" s="397"/>
      <c r="D190" s="398"/>
      <c r="E190" s="403"/>
      <c r="F190" s="404"/>
      <c r="G190" s="382"/>
      <c r="H190" s="380"/>
      <c r="I190" s="15"/>
    </row>
    <row r="191" spans="1:9" ht="12.75" customHeight="1">
      <c r="A191" s="395"/>
      <c r="B191" s="396"/>
      <c r="C191" s="401"/>
      <c r="D191" s="402"/>
      <c r="E191" s="403"/>
      <c r="F191" s="404"/>
      <c r="G191" s="382"/>
      <c r="H191" s="380"/>
      <c r="I191" s="15"/>
    </row>
    <row r="192" spans="1:9" ht="12.75" customHeight="1">
      <c r="A192" s="395"/>
      <c r="B192" s="396"/>
      <c r="C192" s="401"/>
      <c r="D192" s="402"/>
      <c r="E192" s="410"/>
      <c r="F192" s="411"/>
      <c r="G192" s="382"/>
      <c r="H192" s="380"/>
      <c r="I192" s="15"/>
    </row>
    <row r="193" spans="1:9" ht="12.75" customHeight="1">
      <c r="A193" s="405"/>
      <c r="B193" s="406"/>
      <c r="C193" s="407"/>
      <c r="D193" s="408"/>
      <c r="E193" s="409"/>
      <c r="F193" s="394"/>
      <c r="G193" s="412"/>
      <c r="H193" s="413"/>
      <c r="I193" s="15"/>
    </row>
    <row r="194" spans="1:9" ht="12.75" customHeight="1">
      <c r="A194" s="395"/>
      <c r="B194" s="414"/>
      <c r="C194" s="399"/>
      <c r="D194" s="400"/>
      <c r="E194" s="415"/>
      <c r="F194" s="416"/>
      <c r="G194" s="417"/>
      <c r="H194" s="413"/>
      <c r="I194" s="15"/>
    </row>
    <row r="195" spans="1:9" ht="12.75" customHeight="1">
      <c r="A195" s="395"/>
      <c r="B195" s="414"/>
      <c r="C195" s="399"/>
      <c r="D195" s="400"/>
      <c r="E195" s="410"/>
      <c r="F195" s="411"/>
      <c r="G195" s="417"/>
      <c r="H195" s="413"/>
      <c r="I195" s="15"/>
    </row>
    <row r="196" spans="1:9" ht="12.75" customHeight="1">
      <c r="A196" s="395"/>
      <c r="B196" s="414"/>
      <c r="C196" s="403"/>
      <c r="D196" s="404"/>
      <c r="E196" s="418"/>
      <c r="F196" s="404"/>
      <c r="G196" s="41"/>
      <c r="H196" s="414"/>
      <c r="I196" s="15"/>
    </row>
    <row r="197" spans="1:9" ht="12.75" customHeight="1">
      <c r="A197" s="395"/>
      <c r="B197" s="414"/>
      <c r="C197" s="403"/>
      <c r="D197" s="404"/>
      <c r="E197" s="410"/>
      <c r="F197" s="404"/>
      <c r="G197" s="417"/>
      <c r="H197" s="413"/>
      <c r="I197" s="15"/>
    </row>
    <row r="198" spans="1:9" ht="12.75" customHeight="1">
      <c r="A198" s="395"/>
      <c r="B198" s="419"/>
      <c r="C198" s="410"/>
      <c r="D198" s="416"/>
      <c r="E198" s="420"/>
      <c r="F198" s="415"/>
      <c r="G198" s="421"/>
      <c r="H198" s="422"/>
      <c r="I198" s="15"/>
    </row>
    <row r="199" spans="1:9" ht="12.75" customHeight="1">
      <c r="A199" s="405"/>
      <c r="B199" s="423"/>
      <c r="C199" s="424"/>
      <c r="D199" s="425"/>
      <c r="E199" s="423"/>
      <c r="F199" s="424"/>
      <c r="G199" s="426"/>
      <c r="H199" s="427"/>
      <c r="I199" s="15"/>
    </row>
    <row r="200" spans="1:9" ht="12.75" customHeight="1">
      <c r="A200" s="389"/>
      <c r="B200" s="428"/>
      <c r="C200" s="429"/>
      <c r="D200" s="416"/>
      <c r="E200" s="430"/>
      <c r="F200" s="431"/>
      <c r="G200" s="432"/>
      <c r="H200" s="433"/>
      <c r="I200" s="434"/>
    </row>
    <row r="201" spans="1:9" ht="12.75" customHeight="1">
      <c r="A201" s="435"/>
      <c r="B201" s="436"/>
      <c r="C201" s="437"/>
      <c r="D201" s="438"/>
      <c r="E201" s="437"/>
      <c r="F201" s="438"/>
      <c r="G201" s="438"/>
      <c r="H201" s="439"/>
      <c r="I201" s="440"/>
    </row>
    <row r="202" spans="1:9" ht="12.75" customHeight="1">
      <c r="A202" s="435"/>
      <c r="B202" s="436"/>
      <c r="C202" s="437"/>
      <c r="D202" s="438"/>
      <c r="E202" s="437"/>
      <c r="F202" s="438"/>
      <c r="G202" s="438"/>
      <c r="H202" s="439"/>
      <c r="I202" s="440"/>
    </row>
    <row r="203" ht="12.75" customHeight="1">
      <c r="I203" s="377"/>
    </row>
    <row r="204" ht="12.75" customHeight="1">
      <c r="I204" s="377"/>
    </row>
  </sheetData>
  <sheetProtection/>
  <mergeCells count="1">
    <mergeCell ref="C7:D7"/>
  </mergeCells>
  <printOptions/>
  <pageMargins left="0.67" right="0.2" top="0.25" bottom="0.25" header="0.34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37">
      <selection activeCell="A1" sqref="A1"/>
    </sheetView>
  </sheetViews>
  <sheetFormatPr defaultColWidth="9.140625" defaultRowHeight="15" customHeight="1"/>
  <cols>
    <col min="1" max="1" width="35.421875" style="378" customWidth="1"/>
    <col min="2" max="2" width="10.421875" style="31" customWidth="1"/>
    <col min="3" max="3" width="11.28125" style="360" customWidth="1"/>
    <col min="4" max="4" width="7.57421875" style="802" customWidth="1"/>
    <col min="5" max="5" width="10.28125" style="244" customWidth="1"/>
    <col min="6" max="6" width="7.421875" style="31" customWidth="1"/>
    <col min="7" max="7" width="11.28125" style="360" customWidth="1"/>
    <col min="8" max="8" width="15.57421875" style="48" customWidth="1"/>
    <col min="9" max="9" width="9.57421875" style="48" customWidth="1"/>
    <col min="10" max="14" width="8.8515625" style="378" customWidth="1"/>
    <col min="15" max="15" width="12.7109375" style="378" bestFit="1" customWidth="1"/>
    <col min="16" max="16384" width="8.8515625" style="378" customWidth="1"/>
  </cols>
  <sheetData>
    <row r="1" spans="1:10" ht="15" customHeight="1">
      <c r="A1" s="683" t="s">
        <v>1774</v>
      </c>
      <c r="B1" s="684"/>
      <c r="C1" s="685"/>
      <c r="D1" s="798"/>
      <c r="E1" s="686"/>
      <c r="F1" s="684"/>
      <c r="G1" s="685"/>
      <c r="H1" s="687"/>
      <c r="I1" s="687"/>
      <c r="J1" s="262"/>
    </row>
    <row r="2" spans="1:10" ht="15" customHeight="1">
      <c r="A2" s="683" t="s">
        <v>1775</v>
      </c>
      <c r="B2" s="684"/>
      <c r="C2" s="685"/>
      <c r="D2" s="798"/>
      <c r="E2" s="686"/>
      <c r="F2" s="684"/>
      <c r="G2" s="685"/>
      <c r="H2" s="687"/>
      <c r="I2" s="687"/>
      <c r="J2" s="262"/>
    </row>
    <row r="3" spans="1:10" ht="15" customHeight="1">
      <c r="A3" s="683" t="s">
        <v>110</v>
      </c>
      <c r="B3" s="684"/>
      <c r="C3" s="685"/>
      <c r="D3" s="798"/>
      <c r="E3" s="686"/>
      <c r="F3" s="684"/>
      <c r="G3" s="685"/>
      <c r="H3" s="687"/>
      <c r="I3" s="687"/>
      <c r="J3" s="262"/>
    </row>
    <row r="4" spans="1:10" ht="15" customHeight="1">
      <c r="A4" s="683" t="s">
        <v>5</v>
      </c>
      <c r="B4" s="684"/>
      <c r="C4" s="685"/>
      <c r="D4" s="798"/>
      <c r="E4" s="686"/>
      <c r="F4" s="684"/>
      <c r="G4" s="685"/>
      <c r="H4" s="687"/>
      <c r="I4" s="687"/>
      <c r="J4" s="262"/>
    </row>
    <row r="5" spans="1:10" ht="15" customHeight="1">
      <c r="A5" s="683" t="s">
        <v>6</v>
      </c>
      <c r="B5" s="684"/>
      <c r="C5" s="685"/>
      <c r="D5" s="798"/>
      <c r="E5" s="688"/>
      <c r="F5" s="684"/>
      <c r="G5" s="685"/>
      <c r="H5" s="687"/>
      <c r="I5" s="687"/>
      <c r="J5" s="262"/>
    </row>
    <row r="6" spans="1:10" ht="15" customHeight="1">
      <c r="A6" s="683" t="s">
        <v>111</v>
      </c>
      <c r="B6" s="684"/>
      <c r="C6" s="685"/>
      <c r="D6" s="798"/>
      <c r="E6" s="686"/>
      <c r="F6" s="684"/>
      <c r="G6" s="685"/>
      <c r="H6" s="687"/>
      <c r="I6" s="687"/>
      <c r="J6" s="262"/>
    </row>
    <row r="7" spans="1:10" ht="15" customHeight="1">
      <c r="A7" s="683" t="s">
        <v>112</v>
      </c>
      <c r="B7" s="684"/>
      <c r="C7" s="685"/>
      <c r="D7" s="798"/>
      <c r="E7" s="689" t="s">
        <v>113</v>
      </c>
      <c r="F7" s="684"/>
      <c r="G7" s="685"/>
      <c r="H7" s="687"/>
      <c r="I7" s="687"/>
      <c r="J7" s="262"/>
    </row>
    <row r="8" spans="1:10" ht="15" customHeight="1">
      <c r="A8" s="690" t="s">
        <v>1776</v>
      </c>
      <c r="B8" s="691"/>
      <c r="C8" s="692"/>
      <c r="D8" s="799"/>
      <c r="E8" s="693"/>
      <c r="F8" s="691"/>
      <c r="G8" s="692"/>
      <c r="H8" s="694"/>
      <c r="I8" s="694"/>
      <c r="J8" s="262"/>
    </row>
    <row r="9" spans="1:10" ht="15" customHeight="1">
      <c r="A9" s="262"/>
      <c r="B9" s="695" t="s">
        <v>45</v>
      </c>
      <c r="C9" s="696"/>
      <c r="D9" s="695" t="s">
        <v>46</v>
      </c>
      <c r="E9" s="696"/>
      <c r="F9" s="695"/>
      <c r="G9" s="697" t="s">
        <v>47</v>
      </c>
      <c r="H9" s="698"/>
      <c r="I9" s="698"/>
      <c r="J9" s="262"/>
    </row>
    <row r="10" spans="1:10" ht="15" customHeight="1">
      <c r="A10" s="699" t="s">
        <v>461</v>
      </c>
      <c r="B10" s="700" t="s">
        <v>49</v>
      </c>
      <c r="C10" s="701" t="s">
        <v>50</v>
      </c>
      <c r="D10" s="700" t="s">
        <v>49</v>
      </c>
      <c r="E10" s="701" t="s">
        <v>50</v>
      </c>
      <c r="F10" s="700" t="s">
        <v>49</v>
      </c>
      <c r="G10" s="701" t="s">
        <v>50</v>
      </c>
      <c r="H10" s="702" t="s">
        <v>51</v>
      </c>
      <c r="I10" s="702" t="s">
        <v>52</v>
      </c>
      <c r="J10" s="262"/>
    </row>
    <row r="11" spans="1:10" ht="15" customHeight="1">
      <c r="A11" s="706" t="s">
        <v>466</v>
      </c>
      <c r="B11" s="814"/>
      <c r="C11" s="697"/>
      <c r="D11" s="695"/>
      <c r="E11" s="813"/>
      <c r="F11" s="814"/>
      <c r="G11" s="697"/>
      <c r="H11" s="707"/>
      <c r="I11" s="815"/>
      <c r="J11" s="262"/>
    </row>
    <row r="12" spans="1:10" ht="15" customHeight="1">
      <c r="A12" s="699" t="s">
        <v>462</v>
      </c>
      <c r="B12" s="700" t="s">
        <v>49</v>
      </c>
      <c r="C12" s="701" t="s">
        <v>50</v>
      </c>
      <c r="D12" s="700" t="s">
        <v>49</v>
      </c>
      <c r="E12" s="701" t="s">
        <v>50</v>
      </c>
      <c r="F12" s="700" t="s">
        <v>49</v>
      </c>
      <c r="G12" s="701" t="s">
        <v>50</v>
      </c>
      <c r="H12" s="702" t="s">
        <v>51</v>
      </c>
      <c r="I12" s="702" t="s">
        <v>52</v>
      </c>
      <c r="J12" s="262"/>
    </row>
    <row r="13" spans="1:10" ht="15" customHeight="1">
      <c r="A13" s="780" t="s">
        <v>53</v>
      </c>
      <c r="B13" s="793">
        <v>70</v>
      </c>
      <c r="C13" s="846">
        <v>3488</v>
      </c>
      <c r="D13" s="792">
        <v>0</v>
      </c>
      <c r="E13" s="794">
        <v>0</v>
      </c>
      <c r="F13" s="792">
        <v>70</v>
      </c>
      <c r="G13" s="794">
        <v>3488</v>
      </c>
      <c r="H13" s="795" t="s">
        <v>1777</v>
      </c>
      <c r="I13" s="795">
        <v>77.29</v>
      </c>
      <c r="J13" s="262"/>
    </row>
    <row r="14" spans="1:10" ht="15" customHeight="1">
      <c r="A14" s="780" t="s">
        <v>322</v>
      </c>
      <c r="B14" s="793">
        <v>20</v>
      </c>
      <c r="C14" s="846">
        <v>991</v>
      </c>
      <c r="D14" s="792">
        <v>50</v>
      </c>
      <c r="E14" s="794">
        <v>2493.1</v>
      </c>
      <c r="F14" s="792">
        <v>70</v>
      </c>
      <c r="G14" s="794">
        <v>3484.1</v>
      </c>
      <c r="H14" s="795" t="s">
        <v>1778</v>
      </c>
      <c r="I14" s="795">
        <v>71</v>
      </c>
      <c r="J14" s="262"/>
    </row>
    <row r="15" spans="1:10" ht="15" customHeight="1">
      <c r="A15" s="780" t="s">
        <v>469</v>
      </c>
      <c r="B15" s="42"/>
      <c r="C15" s="846">
        <v>0</v>
      </c>
      <c r="D15" s="792">
        <v>10</v>
      </c>
      <c r="E15" s="794">
        <v>498.2</v>
      </c>
      <c r="F15" s="792">
        <v>10</v>
      </c>
      <c r="G15" s="794">
        <v>498.2</v>
      </c>
      <c r="H15" s="795">
        <v>52062.6</v>
      </c>
      <c r="I15" s="795">
        <v>104.5</v>
      </c>
      <c r="J15" s="262"/>
    </row>
    <row r="16" spans="1:10" ht="15" customHeight="1">
      <c r="A16" s="780" t="s">
        <v>128</v>
      </c>
      <c r="B16" s="793">
        <v>80</v>
      </c>
      <c r="C16" s="846">
        <v>3965.5</v>
      </c>
      <c r="D16" s="792">
        <v>0</v>
      </c>
      <c r="E16" s="794">
        <v>0</v>
      </c>
      <c r="F16" s="792">
        <v>80</v>
      </c>
      <c r="G16" s="794">
        <v>3965.5</v>
      </c>
      <c r="H16" s="795" t="s">
        <v>1779</v>
      </c>
      <c r="I16" s="795">
        <v>113.36</v>
      </c>
      <c r="J16" s="262"/>
    </row>
    <row r="17" spans="1:10" ht="15" customHeight="1">
      <c r="A17" s="780" t="s">
        <v>57</v>
      </c>
      <c r="B17" s="793">
        <v>240</v>
      </c>
      <c r="C17" s="846">
        <v>11964</v>
      </c>
      <c r="D17" s="792">
        <v>0</v>
      </c>
      <c r="E17" s="794">
        <v>0</v>
      </c>
      <c r="F17" s="792">
        <v>240</v>
      </c>
      <c r="G17" s="794">
        <v>11964</v>
      </c>
      <c r="H17" s="795" t="s">
        <v>1780</v>
      </c>
      <c r="I17" s="795">
        <v>94.57</v>
      </c>
      <c r="J17" s="262"/>
    </row>
    <row r="18" spans="1:10" ht="15" customHeight="1">
      <c r="A18" s="780" t="s">
        <v>872</v>
      </c>
      <c r="B18" s="42"/>
      <c r="C18" s="846">
        <v>0</v>
      </c>
      <c r="D18" s="792">
        <v>5</v>
      </c>
      <c r="E18" s="794">
        <v>249</v>
      </c>
      <c r="F18" s="792">
        <v>5</v>
      </c>
      <c r="G18" s="794">
        <v>249</v>
      </c>
      <c r="H18" s="795">
        <v>37599</v>
      </c>
      <c r="I18" s="795">
        <v>151</v>
      </c>
      <c r="J18" s="262"/>
    </row>
    <row r="19" spans="1:10" ht="15" customHeight="1">
      <c r="A19" s="780" t="s">
        <v>136</v>
      </c>
      <c r="B19" s="793">
        <v>30</v>
      </c>
      <c r="C19" s="846">
        <v>1492.5</v>
      </c>
      <c r="D19" s="792">
        <v>0</v>
      </c>
      <c r="E19" s="794">
        <v>0</v>
      </c>
      <c r="F19" s="792">
        <v>30</v>
      </c>
      <c r="G19" s="794">
        <v>1492.5</v>
      </c>
      <c r="H19" s="795" t="s">
        <v>1781</v>
      </c>
      <c r="I19" s="795">
        <v>75.99</v>
      </c>
      <c r="J19" s="262"/>
    </row>
    <row r="20" spans="1:10" ht="15" customHeight="1">
      <c r="A20" s="780" t="s">
        <v>67</v>
      </c>
      <c r="B20" s="42"/>
      <c r="C20" s="846">
        <v>0</v>
      </c>
      <c r="D20" s="792">
        <v>20</v>
      </c>
      <c r="E20" s="794">
        <v>996.3</v>
      </c>
      <c r="F20" s="792">
        <v>20</v>
      </c>
      <c r="G20" s="794">
        <v>996.3</v>
      </c>
      <c r="H20" s="795" t="s">
        <v>1782</v>
      </c>
      <c r="I20" s="795">
        <v>132.5</v>
      </c>
      <c r="J20" s="262"/>
    </row>
    <row r="21" spans="1:10" ht="15" customHeight="1">
      <c r="A21" s="780" t="s">
        <v>69</v>
      </c>
      <c r="B21" s="793">
        <v>157</v>
      </c>
      <c r="C21" s="846">
        <v>7807</v>
      </c>
      <c r="D21" s="792">
        <v>10</v>
      </c>
      <c r="E21" s="794">
        <v>499.2</v>
      </c>
      <c r="F21" s="792">
        <v>167</v>
      </c>
      <c r="G21" s="794">
        <v>8306.2</v>
      </c>
      <c r="H21" s="795" t="s">
        <v>1783</v>
      </c>
      <c r="I21" s="795">
        <v>84.15</v>
      </c>
      <c r="J21" s="262"/>
    </row>
    <row r="22" spans="1:10" ht="15" customHeight="1">
      <c r="A22" s="780" t="s">
        <v>71</v>
      </c>
      <c r="B22" s="793">
        <v>160</v>
      </c>
      <c r="C22" s="846">
        <v>7964</v>
      </c>
      <c r="D22" s="792">
        <v>40</v>
      </c>
      <c r="E22" s="794">
        <v>1993.1</v>
      </c>
      <c r="F22" s="792">
        <v>200</v>
      </c>
      <c r="G22" s="794">
        <v>9957.1</v>
      </c>
      <c r="H22" s="795" t="s">
        <v>1784</v>
      </c>
      <c r="I22" s="795">
        <v>91.4</v>
      </c>
      <c r="J22" s="262"/>
    </row>
    <row r="23" spans="1:10" ht="15" customHeight="1">
      <c r="A23" s="780" t="s">
        <v>75</v>
      </c>
      <c r="B23" s="793">
        <v>130</v>
      </c>
      <c r="C23" s="846">
        <v>6481.5</v>
      </c>
      <c r="D23" s="792">
        <v>85</v>
      </c>
      <c r="E23" s="794">
        <v>4235.9</v>
      </c>
      <c r="F23" s="792">
        <v>215</v>
      </c>
      <c r="G23" s="794">
        <v>10717.4</v>
      </c>
      <c r="H23" s="795" t="s">
        <v>1785</v>
      </c>
      <c r="I23" s="795">
        <v>105.6</v>
      </c>
      <c r="J23" s="262"/>
    </row>
    <row r="24" spans="1:10" ht="15" customHeight="1">
      <c r="A24" s="780" t="s">
        <v>77</v>
      </c>
      <c r="B24" s="793">
        <v>40</v>
      </c>
      <c r="C24" s="846">
        <v>1992</v>
      </c>
      <c r="D24" s="792">
        <v>40</v>
      </c>
      <c r="E24" s="794">
        <v>1994.7</v>
      </c>
      <c r="F24" s="792">
        <v>80</v>
      </c>
      <c r="G24" s="794">
        <v>3986.7</v>
      </c>
      <c r="H24" s="795" t="s">
        <v>1786</v>
      </c>
      <c r="I24" s="795">
        <v>71.88</v>
      </c>
      <c r="J24" s="262"/>
    </row>
    <row r="25" spans="1:10" ht="15" customHeight="1">
      <c r="A25" s="780" t="s">
        <v>882</v>
      </c>
      <c r="B25" s="793">
        <v>20</v>
      </c>
      <c r="C25" s="846">
        <v>994</v>
      </c>
      <c r="D25" s="792">
        <v>0</v>
      </c>
      <c r="E25" s="794">
        <v>0</v>
      </c>
      <c r="F25" s="792">
        <v>20</v>
      </c>
      <c r="G25" s="794">
        <v>994</v>
      </c>
      <c r="H25" s="795">
        <v>98562</v>
      </c>
      <c r="I25" s="795">
        <v>99.16</v>
      </c>
      <c r="J25" s="262"/>
    </row>
    <row r="26" spans="1:10" ht="15" customHeight="1">
      <c r="A26" s="780" t="s">
        <v>144</v>
      </c>
      <c r="B26" s="793">
        <v>10</v>
      </c>
      <c r="C26" s="846">
        <v>494</v>
      </c>
      <c r="D26" s="792">
        <v>0</v>
      </c>
      <c r="E26" s="794">
        <v>0</v>
      </c>
      <c r="F26" s="792">
        <v>10</v>
      </c>
      <c r="G26" s="794">
        <v>494</v>
      </c>
      <c r="H26" s="795">
        <v>34580</v>
      </c>
      <c r="I26" s="795">
        <v>70</v>
      </c>
      <c r="J26" s="262"/>
    </row>
    <row r="27" spans="1:10" ht="15" customHeight="1">
      <c r="A27" s="780" t="s">
        <v>81</v>
      </c>
      <c r="B27" s="793">
        <v>20</v>
      </c>
      <c r="C27" s="846">
        <v>995</v>
      </c>
      <c r="D27" s="792">
        <v>0</v>
      </c>
      <c r="E27" s="794">
        <v>0</v>
      </c>
      <c r="F27" s="792">
        <v>20</v>
      </c>
      <c r="G27" s="794">
        <v>995</v>
      </c>
      <c r="H27" s="795">
        <v>90028</v>
      </c>
      <c r="I27" s="795">
        <v>90.48</v>
      </c>
      <c r="J27" s="262"/>
    </row>
    <row r="28" spans="1:10" ht="15" customHeight="1">
      <c r="A28" s="780" t="s">
        <v>83</v>
      </c>
      <c r="B28" s="793">
        <v>320</v>
      </c>
      <c r="C28" s="846">
        <v>15936.5</v>
      </c>
      <c r="D28" s="792">
        <v>100</v>
      </c>
      <c r="E28" s="794">
        <v>4983</v>
      </c>
      <c r="F28" s="792">
        <v>420</v>
      </c>
      <c r="G28" s="794">
        <v>20919.5</v>
      </c>
      <c r="H28" s="795" t="s">
        <v>1787</v>
      </c>
      <c r="I28" s="795">
        <v>88.74</v>
      </c>
      <c r="J28" s="262"/>
    </row>
    <row r="29" spans="1:10" ht="15" customHeight="1">
      <c r="A29" s="780" t="s">
        <v>85</v>
      </c>
      <c r="B29" s="42"/>
      <c r="C29" s="846">
        <v>0</v>
      </c>
      <c r="D29" s="792">
        <v>45</v>
      </c>
      <c r="E29" s="794">
        <v>2243.8</v>
      </c>
      <c r="F29" s="792">
        <v>45</v>
      </c>
      <c r="G29" s="794">
        <v>2243.8</v>
      </c>
      <c r="H29" s="795" t="s">
        <v>1788</v>
      </c>
      <c r="I29" s="795">
        <v>84.45</v>
      </c>
      <c r="J29" s="262"/>
    </row>
    <row r="30" spans="1:10" ht="15" customHeight="1">
      <c r="A30" s="780" t="s">
        <v>85</v>
      </c>
      <c r="B30" s="793">
        <v>280</v>
      </c>
      <c r="C30" s="846">
        <v>13950.5</v>
      </c>
      <c r="D30" s="792">
        <v>5</v>
      </c>
      <c r="E30" s="794">
        <v>249.2</v>
      </c>
      <c r="F30" s="792">
        <v>285</v>
      </c>
      <c r="G30" s="794">
        <v>14199.7</v>
      </c>
      <c r="H30" s="795" t="s">
        <v>1789</v>
      </c>
      <c r="I30" s="795">
        <v>51.94</v>
      </c>
      <c r="J30" s="262"/>
    </row>
    <row r="31" spans="1:10" ht="15" customHeight="1">
      <c r="A31" s="780" t="s">
        <v>344</v>
      </c>
      <c r="B31" s="793">
        <v>160</v>
      </c>
      <c r="C31" s="846">
        <v>7958</v>
      </c>
      <c r="D31" s="792">
        <v>0</v>
      </c>
      <c r="E31" s="794">
        <v>0</v>
      </c>
      <c r="F31" s="792">
        <v>160</v>
      </c>
      <c r="G31" s="794">
        <v>7958</v>
      </c>
      <c r="H31" s="795" t="s">
        <v>1790</v>
      </c>
      <c r="I31" s="795">
        <v>68.3</v>
      </c>
      <c r="J31" s="262"/>
    </row>
    <row r="32" spans="1:10" ht="15" customHeight="1">
      <c r="A32" s="780" t="s">
        <v>150</v>
      </c>
      <c r="B32" s="793">
        <v>10</v>
      </c>
      <c r="C32" s="846">
        <v>497</v>
      </c>
      <c r="D32" s="792">
        <v>30</v>
      </c>
      <c r="E32" s="794">
        <v>1495.6</v>
      </c>
      <c r="F32" s="792">
        <v>40</v>
      </c>
      <c r="G32" s="794">
        <v>1992.6</v>
      </c>
      <c r="H32" s="795" t="s">
        <v>1791</v>
      </c>
      <c r="I32" s="795">
        <v>126.52</v>
      </c>
      <c r="J32" s="262"/>
    </row>
    <row r="33" spans="1:10" ht="15" customHeight="1">
      <c r="A33" s="780" t="s">
        <v>185</v>
      </c>
      <c r="B33" s="793">
        <v>90</v>
      </c>
      <c r="C33" s="846">
        <v>4464</v>
      </c>
      <c r="D33" s="792">
        <v>0</v>
      </c>
      <c r="E33" s="794">
        <v>0</v>
      </c>
      <c r="F33" s="792">
        <v>90</v>
      </c>
      <c r="G33" s="794">
        <v>4464</v>
      </c>
      <c r="H33" s="795" t="s">
        <v>1792</v>
      </c>
      <c r="I33" s="795">
        <v>80.57</v>
      </c>
      <c r="J33" s="262"/>
    </row>
    <row r="34" spans="1:10" ht="15" customHeight="1">
      <c r="A34" s="780" t="s">
        <v>153</v>
      </c>
      <c r="B34" s="793">
        <v>10</v>
      </c>
      <c r="C34" s="846">
        <v>497.5</v>
      </c>
      <c r="D34" s="792">
        <v>0</v>
      </c>
      <c r="E34" s="794">
        <v>0</v>
      </c>
      <c r="F34" s="792">
        <v>10</v>
      </c>
      <c r="G34" s="794">
        <v>497.5</v>
      </c>
      <c r="H34" s="795">
        <v>37312.5</v>
      </c>
      <c r="I34" s="795">
        <v>75</v>
      </c>
      <c r="J34" s="262"/>
    </row>
    <row r="35" spans="1:10" ht="15" customHeight="1">
      <c r="A35" s="780" t="s">
        <v>92</v>
      </c>
      <c r="B35" s="793">
        <f>160+4</f>
        <v>164</v>
      </c>
      <c r="C35" s="846">
        <f>7970.5+199.5</f>
        <v>8170</v>
      </c>
      <c r="D35" s="792">
        <v>0</v>
      </c>
      <c r="E35" s="794">
        <v>0</v>
      </c>
      <c r="F35" s="792">
        <f>160+4</f>
        <v>164</v>
      </c>
      <c r="G35" s="794">
        <f>7970.5+199.5</f>
        <v>8170</v>
      </c>
      <c r="H35" s="795">
        <f>690409+35910</f>
        <v>726319</v>
      </c>
      <c r="I35" s="795">
        <f>H35/G35</f>
        <v>88.90073439412485</v>
      </c>
      <c r="J35" s="262"/>
    </row>
    <row r="36" spans="1:10" ht="15" customHeight="1">
      <c r="A36" s="780" t="s">
        <v>229</v>
      </c>
      <c r="B36" s="793">
        <f>260+70</f>
        <v>330</v>
      </c>
      <c r="C36" s="846">
        <f>12932.5+3474</f>
        <v>16406.5</v>
      </c>
      <c r="D36" s="792">
        <v>0</v>
      </c>
      <c r="E36" s="794">
        <v>0</v>
      </c>
      <c r="F36" s="792">
        <f>260+70</f>
        <v>330</v>
      </c>
      <c r="G36" s="794">
        <f>12932.5+3474</f>
        <v>16406.5</v>
      </c>
      <c r="H36" s="795">
        <f>890209.5+245635</f>
        <v>1135844.5</v>
      </c>
      <c r="I36" s="795">
        <f>H36/G36</f>
        <v>69.23137171243106</v>
      </c>
      <c r="J36" s="262"/>
    </row>
    <row r="37" spans="1:10" ht="15" customHeight="1">
      <c r="A37" s="780" t="s">
        <v>187</v>
      </c>
      <c r="B37" s="793">
        <v>160</v>
      </c>
      <c r="C37" s="846">
        <v>7955</v>
      </c>
      <c r="D37" s="792">
        <v>0</v>
      </c>
      <c r="E37" s="794">
        <v>0</v>
      </c>
      <c r="F37" s="792">
        <v>160</v>
      </c>
      <c r="G37" s="794">
        <v>7955</v>
      </c>
      <c r="H37" s="795" t="s">
        <v>1793</v>
      </c>
      <c r="I37" s="795">
        <v>68.12</v>
      </c>
      <c r="J37" s="262"/>
    </row>
    <row r="38" spans="1:10" ht="15" customHeight="1">
      <c r="A38" s="780" t="s">
        <v>233</v>
      </c>
      <c r="B38" s="42"/>
      <c r="C38" s="846">
        <v>0</v>
      </c>
      <c r="D38" s="792">
        <v>10</v>
      </c>
      <c r="E38" s="794">
        <v>499.2</v>
      </c>
      <c r="F38" s="792">
        <v>10</v>
      </c>
      <c r="G38" s="794">
        <v>499.2</v>
      </c>
      <c r="H38" s="795">
        <v>34944</v>
      </c>
      <c r="I38" s="795">
        <v>70</v>
      </c>
      <c r="J38" s="262"/>
    </row>
    <row r="39" spans="1:10" ht="15" customHeight="1">
      <c r="A39" s="780" t="s">
        <v>1064</v>
      </c>
      <c r="B39" s="793">
        <v>10</v>
      </c>
      <c r="C39" s="846">
        <v>498.5</v>
      </c>
      <c r="D39" s="792">
        <v>0</v>
      </c>
      <c r="E39" s="794">
        <v>0</v>
      </c>
      <c r="F39" s="792">
        <v>10</v>
      </c>
      <c r="G39" s="794">
        <v>498.5</v>
      </c>
      <c r="H39" s="795">
        <v>62312.5</v>
      </c>
      <c r="I39" s="795">
        <v>125</v>
      </c>
      <c r="J39" s="262"/>
    </row>
    <row r="40" spans="1:10" ht="15" customHeight="1">
      <c r="A40" s="780" t="s">
        <v>94</v>
      </c>
      <c r="B40" s="793">
        <v>10</v>
      </c>
      <c r="C40" s="846">
        <v>498</v>
      </c>
      <c r="D40" s="792">
        <v>10</v>
      </c>
      <c r="E40" s="794">
        <v>498.4</v>
      </c>
      <c r="F40" s="792">
        <v>20</v>
      </c>
      <c r="G40" s="794">
        <v>996.4</v>
      </c>
      <c r="H40" s="795" t="s">
        <v>1794</v>
      </c>
      <c r="I40" s="795">
        <v>132.5</v>
      </c>
      <c r="J40" s="262"/>
    </row>
    <row r="41" spans="1:10" ht="15" customHeight="1">
      <c r="A41" s="780" t="s">
        <v>266</v>
      </c>
      <c r="B41" s="42"/>
      <c r="C41" s="846">
        <v>0</v>
      </c>
      <c r="D41" s="792">
        <v>80</v>
      </c>
      <c r="E41" s="794">
        <v>3987.5</v>
      </c>
      <c r="F41" s="792">
        <v>80</v>
      </c>
      <c r="G41" s="794">
        <v>3987.5</v>
      </c>
      <c r="H41" s="795" t="s">
        <v>1795</v>
      </c>
      <c r="I41" s="795">
        <v>108.64</v>
      </c>
      <c r="J41" s="262"/>
    </row>
    <row r="42" spans="1:10" ht="15" customHeight="1">
      <c r="A42" s="780" t="s">
        <v>96</v>
      </c>
      <c r="B42" s="793">
        <v>80</v>
      </c>
      <c r="C42" s="846">
        <v>3973</v>
      </c>
      <c r="D42" s="792">
        <v>0</v>
      </c>
      <c r="E42" s="794">
        <v>0</v>
      </c>
      <c r="F42" s="792">
        <v>80</v>
      </c>
      <c r="G42" s="794">
        <v>3973</v>
      </c>
      <c r="H42" s="795" t="s">
        <v>1796</v>
      </c>
      <c r="I42" s="795">
        <v>69.38</v>
      </c>
      <c r="J42" s="262"/>
    </row>
    <row r="43" spans="1:10" ht="15" customHeight="1">
      <c r="A43" s="780" t="s">
        <v>98</v>
      </c>
      <c r="B43" s="793">
        <f>10+10</f>
        <v>20</v>
      </c>
      <c r="C43" s="846">
        <f>497+492.5</f>
        <v>989.5</v>
      </c>
      <c r="D43" s="792">
        <v>0</v>
      </c>
      <c r="E43" s="794">
        <v>0</v>
      </c>
      <c r="F43" s="792">
        <f>10+10</f>
        <v>20</v>
      </c>
      <c r="G43" s="794">
        <f>497+492.5</f>
        <v>989.5</v>
      </c>
      <c r="H43" s="795">
        <f>33796+35460</f>
        <v>69256</v>
      </c>
      <c r="I43" s="795">
        <f>H43/G43</f>
        <v>69.99090449722082</v>
      </c>
      <c r="J43" s="262"/>
    </row>
    <row r="44" spans="1:10" ht="15" customHeight="1">
      <c r="A44" s="780" t="s">
        <v>99</v>
      </c>
      <c r="B44" s="848">
        <v>0</v>
      </c>
      <c r="C44" s="849">
        <v>0</v>
      </c>
      <c r="D44" s="850">
        <v>10</v>
      </c>
      <c r="E44" s="851">
        <v>498.4</v>
      </c>
      <c r="F44" s="850">
        <v>10</v>
      </c>
      <c r="G44" s="851">
        <v>498.4</v>
      </c>
      <c r="H44" s="852">
        <v>90210.4</v>
      </c>
      <c r="I44" s="852">
        <v>181</v>
      </c>
      <c r="J44" s="262"/>
    </row>
    <row r="45" spans="1:10" ht="15" customHeight="1">
      <c r="A45" s="780" t="s">
        <v>14</v>
      </c>
      <c r="B45" s="853">
        <v>2621</v>
      </c>
      <c r="C45" s="852" t="s">
        <v>1797</v>
      </c>
      <c r="D45" s="850">
        <v>550</v>
      </c>
      <c r="E45" s="851">
        <v>27414.6</v>
      </c>
      <c r="F45" s="854">
        <v>3171</v>
      </c>
      <c r="G45" s="855" t="s">
        <v>1798</v>
      </c>
      <c r="H45" s="852" t="s">
        <v>1799</v>
      </c>
      <c r="I45" s="852">
        <v>83.39</v>
      </c>
      <c r="J45" s="262"/>
    </row>
    <row r="46" spans="1:10" ht="15" customHeight="1">
      <c r="A46" s="780"/>
      <c r="B46" s="793"/>
      <c r="C46" s="795"/>
      <c r="D46" s="792"/>
      <c r="E46" s="794"/>
      <c r="F46" s="847"/>
      <c r="G46" s="797"/>
      <c r="H46" s="795"/>
      <c r="I46" s="795"/>
      <c r="J46" s="262"/>
    </row>
    <row r="47" spans="1:9" ht="15" customHeight="1">
      <c r="A47" s="699"/>
      <c r="B47" s="709"/>
      <c r="C47" s="696"/>
      <c r="D47" s="708"/>
      <c r="E47" s="710"/>
      <c r="F47" s="709"/>
      <c r="G47" s="696"/>
      <c r="H47" s="698"/>
      <c r="I47" s="698" t="s">
        <v>119</v>
      </c>
    </row>
    <row r="48" spans="1:9" ht="15" customHeight="1">
      <c r="A48" s="699"/>
      <c r="B48" s="709"/>
      <c r="C48" s="696"/>
      <c r="D48" s="708"/>
      <c r="E48" s="710"/>
      <c r="F48" s="709"/>
      <c r="G48" s="696"/>
      <c r="H48" s="698"/>
      <c r="I48" s="713" t="s">
        <v>121</v>
      </c>
    </row>
    <row r="49" spans="1:9" ht="15" customHeight="1">
      <c r="A49" s="683" t="s">
        <v>117</v>
      </c>
      <c r="B49" s="709"/>
      <c r="C49" s="696"/>
      <c r="D49" s="708"/>
      <c r="E49" s="710"/>
      <c r="F49" s="709"/>
      <c r="G49" s="696"/>
      <c r="H49" s="698"/>
      <c r="I49" s="698"/>
    </row>
    <row r="50" spans="1:9" ht="15" customHeight="1">
      <c r="A50" s="683" t="s">
        <v>118</v>
      </c>
      <c r="B50" s="709"/>
      <c r="C50" s="696"/>
      <c r="D50" s="708"/>
      <c r="E50" s="710"/>
      <c r="F50" s="709"/>
      <c r="G50" s="696"/>
      <c r="H50" s="698"/>
      <c r="I50" s="698"/>
    </row>
    <row r="51" spans="1:9" ht="15" customHeight="1">
      <c r="A51" s="683" t="s">
        <v>120</v>
      </c>
      <c r="B51" s="709"/>
      <c r="C51" s="696"/>
      <c r="D51" s="708"/>
      <c r="E51" s="710"/>
      <c r="F51" s="709"/>
      <c r="G51" s="696"/>
      <c r="H51" s="698"/>
      <c r="I51" s="698"/>
    </row>
    <row r="52" spans="1:9" ht="15" customHeight="1">
      <c r="A52" s="683" t="s">
        <v>122</v>
      </c>
      <c r="B52" s="709"/>
      <c r="C52" s="696"/>
      <c r="D52" s="708"/>
      <c r="E52" s="710"/>
      <c r="F52" s="709"/>
      <c r="G52" s="696"/>
      <c r="H52" s="698"/>
      <c r="I52" s="698"/>
    </row>
    <row r="53" spans="1:9" ht="15" customHeight="1">
      <c r="A53" s="683" t="s">
        <v>123</v>
      </c>
      <c r="B53" s="709"/>
      <c r="C53" s="696"/>
      <c r="D53" s="708"/>
      <c r="E53" s="710"/>
      <c r="F53" s="709"/>
      <c r="G53" s="696"/>
      <c r="H53" s="698"/>
      <c r="I53" s="698"/>
    </row>
    <row r="54" spans="1:9" ht="15" customHeight="1">
      <c r="A54" s="274"/>
      <c r="B54" s="289"/>
      <c r="C54" s="276"/>
      <c r="D54" s="285"/>
      <c r="E54" s="290"/>
      <c r="F54" s="289"/>
      <c r="G54" s="276"/>
      <c r="H54" s="278"/>
      <c r="I54" s="278"/>
    </row>
    <row r="55" spans="1:9" ht="15" customHeight="1">
      <c r="A55" s="274"/>
      <c r="B55" s="289"/>
      <c r="C55" s="276"/>
      <c r="D55" s="285"/>
      <c r="E55" s="290"/>
      <c r="F55" s="289"/>
      <c r="G55" s="276"/>
      <c r="H55" s="278"/>
      <c r="I55" s="278"/>
    </row>
    <row r="56" spans="1:9" ht="15" customHeight="1">
      <c r="A56" s="509"/>
      <c r="B56" s="512"/>
      <c r="C56" s="510"/>
      <c r="D56" s="801"/>
      <c r="E56" s="513"/>
      <c r="F56" s="512"/>
      <c r="G56" s="510"/>
      <c r="H56" s="511"/>
      <c r="I56" s="511"/>
    </row>
    <row r="57" spans="1:9" ht="15" customHeight="1">
      <c r="A57" s="509"/>
      <c r="B57" s="512"/>
      <c r="C57" s="510"/>
      <c r="D57" s="801"/>
      <c r="E57" s="513"/>
      <c r="F57" s="512"/>
      <c r="G57" s="510"/>
      <c r="H57" s="511"/>
      <c r="I57" s="511"/>
    </row>
    <row r="58" spans="1:9" ht="15" customHeight="1">
      <c r="A58" s="509"/>
      <c r="B58" s="512"/>
      <c r="C58" s="510"/>
      <c r="D58" s="801"/>
      <c r="E58" s="513"/>
      <c r="F58" s="512"/>
      <c r="G58" s="510"/>
      <c r="H58" s="511"/>
      <c r="I58" s="511"/>
    </row>
    <row r="59" spans="1:9" ht="15" customHeight="1">
      <c r="A59" s="509"/>
      <c r="B59" s="512"/>
      <c r="C59" s="510"/>
      <c r="D59" s="801"/>
      <c r="E59" s="513"/>
      <c r="F59" s="512"/>
      <c r="G59" s="510"/>
      <c r="H59" s="511"/>
      <c r="I59" s="511"/>
    </row>
    <row r="60" spans="1:9" ht="15" customHeight="1">
      <c r="A60" s="509"/>
      <c r="B60" s="512"/>
      <c r="C60" s="510"/>
      <c r="D60" s="801"/>
      <c r="E60" s="513"/>
      <c r="F60" s="512"/>
      <c r="G60" s="510"/>
      <c r="H60" s="511"/>
      <c r="I60" s="511"/>
    </row>
    <row r="61" spans="1:9" ht="15" customHeight="1">
      <c r="A61" s="509"/>
      <c r="B61" s="512"/>
      <c r="C61" s="510"/>
      <c r="D61" s="801"/>
      <c r="E61" s="513"/>
      <c r="F61" s="512"/>
      <c r="G61" s="510"/>
      <c r="H61" s="511"/>
      <c r="I61" s="511"/>
    </row>
    <row r="62" spans="1:9" ht="15" customHeight="1">
      <c r="A62" s="509"/>
      <c r="B62" s="512"/>
      <c r="C62" s="510"/>
      <c r="D62" s="801"/>
      <c r="E62" s="513"/>
      <c r="F62" s="512"/>
      <c r="G62" s="510"/>
      <c r="H62" s="511"/>
      <c r="I62" s="511"/>
    </row>
    <row r="63" spans="1:9" ht="15" customHeight="1">
      <c r="A63" s="509"/>
      <c r="B63" s="512"/>
      <c r="C63" s="510"/>
      <c r="D63" s="801"/>
      <c r="E63" s="513"/>
      <c r="F63" s="512"/>
      <c r="G63" s="510"/>
      <c r="H63" s="511"/>
      <c r="I63" s="511"/>
    </row>
    <row r="64" spans="1:9" ht="15" customHeight="1">
      <c r="A64" s="509"/>
      <c r="B64" s="512"/>
      <c r="C64" s="510"/>
      <c r="D64" s="801"/>
      <c r="E64" s="513"/>
      <c r="F64" s="512"/>
      <c r="G64" s="510"/>
      <c r="H64" s="511"/>
      <c r="I64" s="511"/>
    </row>
    <row r="65" spans="1:9" ht="15" customHeight="1">
      <c r="A65" s="509"/>
      <c r="B65" s="512"/>
      <c r="C65" s="510"/>
      <c r="D65" s="801"/>
      <c r="E65" s="513"/>
      <c r="F65" s="512"/>
      <c r="G65" s="510"/>
      <c r="H65" s="511"/>
      <c r="I65" s="511"/>
    </row>
    <row r="66" spans="1:9" ht="15" customHeight="1">
      <c r="A66" s="509"/>
      <c r="B66" s="512"/>
      <c r="C66" s="510"/>
      <c r="D66" s="801"/>
      <c r="E66" s="513"/>
      <c r="F66" s="512"/>
      <c r="G66" s="510"/>
      <c r="H66" s="511"/>
      <c r="I66" s="511"/>
    </row>
    <row r="67" spans="1:9" ht="15" customHeight="1">
      <c r="A67" s="509"/>
      <c r="B67" s="512"/>
      <c r="C67" s="510"/>
      <c r="D67" s="801"/>
      <c r="E67" s="513"/>
      <c r="F67" s="512"/>
      <c r="G67" s="510"/>
      <c r="H67" s="511"/>
      <c r="I67" s="511"/>
    </row>
    <row r="68" spans="1:9" ht="15" customHeight="1">
      <c r="A68" s="509"/>
      <c r="B68" s="512"/>
      <c r="C68" s="510"/>
      <c r="D68" s="801"/>
      <c r="E68" s="513"/>
      <c r="F68" s="512"/>
      <c r="G68" s="510"/>
      <c r="H68" s="511"/>
      <c r="I68" s="511"/>
    </row>
    <row r="69" spans="1:9" ht="15" customHeight="1">
      <c r="A69" s="509"/>
      <c r="B69" s="512"/>
      <c r="C69" s="510"/>
      <c r="D69" s="801"/>
      <c r="E69" s="513"/>
      <c r="F69" s="512"/>
      <c r="G69" s="510"/>
      <c r="H69" s="511"/>
      <c r="I69" s="511"/>
    </row>
    <row r="70" spans="1:9" ht="15" customHeight="1">
      <c r="A70" s="509"/>
      <c r="B70" s="512"/>
      <c r="C70" s="510"/>
      <c r="D70" s="801"/>
      <c r="E70" s="513"/>
      <c r="F70" s="512"/>
      <c r="G70" s="510"/>
      <c r="H70" s="511"/>
      <c r="I70" s="511"/>
    </row>
  </sheetData>
  <sheetProtection/>
  <printOptions/>
  <pageMargins left="0.7" right="0.29" top="1.33" bottom="0.5" header="0.3" footer="0.3"/>
  <pageSetup horizontalDpi="600" verticalDpi="600" orientation="portrait" scale="80" r:id="rId1"/>
  <headerFooter>
    <oddHeader>&amp;L&amp;D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204"/>
  <sheetViews>
    <sheetView showGridLines="0" zoomScalePageLayoutView="0" workbookViewId="0" topLeftCell="A1">
      <selection activeCell="E8" sqref="E8"/>
    </sheetView>
  </sheetViews>
  <sheetFormatPr defaultColWidth="9.140625" defaultRowHeight="12.75" customHeight="1"/>
  <cols>
    <col min="1" max="1" width="26.7109375" style="4" customWidth="1"/>
    <col min="2" max="2" width="7.57421875" style="4" customWidth="1"/>
    <col min="3" max="3" width="12.57421875" style="6" customWidth="1"/>
    <col min="4" max="4" width="12.7109375" style="5" customWidth="1"/>
    <col min="5" max="5" width="15.00390625" style="6" customWidth="1"/>
    <col min="6" max="6" width="14.421875" style="5" customWidth="1"/>
    <col min="7" max="7" width="9.8515625" style="5" customWidth="1"/>
    <col min="8" max="8" width="9.57421875" style="5" customWidth="1"/>
    <col min="9" max="9" width="9.28125" style="3" customWidth="1"/>
    <col min="10" max="10" width="21.28125" style="378" bestFit="1" customWidth="1"/>
    <col min="11" max="16384" width="9.140625" style="378" customWidth="1"/>
  </cols>
  <sheetData>
    <row r="1" spans="1:9" ht="12.75" customHeight="1">
      <c r="A1" s="380"/>
      <c r="B1" s="380"/>
      <c r="C1" s="381" t="s">
        <v>3</v>
      </c>
      <c r="D1" s="382"/>
      <c r="E1" s="383"/>
      <c r="F1" s="384"/>
      <c r="G1" s="382"/>
      <c r="H1" s="380"/>
      <c r="I1" s="15"/>
    </row>
    <row r="2" spans="1:9" ht="12.75" customHeight="1">
      <c r="A2" s="380"/>
      <c r="B2" s="380"/>
      <c r="C2" s="381" t="s">
        <v>4</v>
      </c>
      <c r="D2" s="385"/>
      <c r="E2" s="381"/>
      <c r="F2" s="384"/>
      <c r="G2" s="382"/>
      <c r="H2" s="380"/>
      <c r="I2" s="15"/>
    </row>
    <row r="3" spans="1:9" ht="12.75" customHeight="1">
      <c r="A3" s="380"/>
      <c r="B3" s="380"/>
      <c r="C3" s="381" t="s">
        <v>33</v>
      </c>
      <c r="D3" s="385"/>
      <c r="E3" s="381"/>
      <c r="F3" s="384"/>
      <c r="G3" s="382"/>
      <c r="H3" s="380"/>
      <c r="I3" s="15"/>
    </row>
    <row r="4" spans="1:9" ht="12.75" customHeight="1">
      <c r="A4" s="386"/>
      <c r="B4" s="380"/>
      <c r="C4" s="381" t="s">
        <v>31</v>
      </c>
      <c r="D4" s="385"/>
      <c r="E4" s="381"/>
      <c r="F4" s="384"/>
      <c r="G4" s="387"/>
      <c r="H4" s="380"/>
      <c r="I4" s="15"/>
    </row>
    <row r="5" spans="1:9" ht="12.75" customHeight="1">
      <c r="A5" s="380"/>
      <c r="B5" s="386"/>
      <c r="C5" s="388"/>
      <c r="D5" s="387"/>
      <c r="E5" s="383" t="s">
        <v>1253</v>
      </c>
      <c r="F5" s="384"/>
      <c r="G5" s="387"/>
      <c r="H5" s="380"/>
      <c r="I5" s="15"/>
    </row>
    <row r="6" spans="1:9" ht="12.75" customHeight="1">
      <c r="A6" s="389" t="s">
        <v>39</v>
      </c>
      <c r="B6" s="386"/>
      <c r="C6" s="388"/>
      <c r="D6" s="387"/>
      <c r="E6" s="388"/>
      <c r="F6" s="384"/>
      <c r="G6" s="387"/>
      <c r="H6" s="380"/>
      <c r="I6" s="15"/>
    </row>
    <row r="7" spans="1:9" ht="12.75" customHeight="1">
      <c r="A7" s="390" t="s">
        <v>312</v>
      </c>
      <c r="B7" s="390"/>
      <c r="C7" s="856" t="s">
        <v>1252</v>
      </c>
      <c r="D7" s="856"/>
      <c r="E7" s="391" t="s">
        <v>1264</v>
      </c>
      <c r="F7" s="384"/>
      <c r="G7" s="382"/>
      <c r="H7" s="380"/>
      <c r="I7" s="15"/>
    </row>
    <row r="8" spans="1:9" ht="12.75" customHeight="1">
      <c r="A8" s="392" t="s">
        <v>243</v>
      </c>
      <c r="B8" s="380"/>
      <c r="C8" s="393" t="s">
        <v>0</v>
      </c>
      <c r="D8" s="394" t="s">
        <v>1</v>
      </c>
      <c r="E8" s="393" t="s">
        <v>0</v>
      </c>
      <c r="F8" s="394" t="s">
        <v>1</v>
      </c>
      <c r="G8" s="382"/>
      <c r="H8" s="380"/>
      <c r="I8" s="15"/>
    </row>
    <row r="9" spans="1:9" ht="12.75" customHeight="1">
      <c r="A9" s="389" t="s">
        <v>1207</v>
      </c>
      <c r="B9" s="380"/>
      <c r="C9" s="413">
        <v>0</v>
      </c>
      <c r="D9" s="400">
        <v>0</v>
      </c>
      <c r="E9" s="413">
        <v>25457.2</v>
      </c>
      <c r="F9" s="400">
        <v>109.21819760225004</v>
      </c>
      <c r="G9" s="382"/>
      <c r="H9" s="380"/>
      <c r="I9" s="15"/>
    </row>
    <row r="10" spans="1:9" ht="12.75" customHeight="1">
      <c r="A10" s="389" t="s">
        <v>277</v>
      </c>
      <c r="B10" s="380"/>
      <c r="C10" s="413">
        <v>0</v>
      </c>
      <c r="D10" s="400">
        <v>0</v>
      </c>
      <c r="E10" s="413">
        <v>72620.59999999999</v>
      </c>
      <c r="F10" s="400">
        <v>127.85200755708435</v>
      </c>
      <c r="G10" s="382"/>
      <c r="H10" s="380"/>
      <c r="I10" s="15"/>
    </row>
    <row r="11" spans="1:9" ht="12.75" customHeight="1">
      <c r="A11" s="389" t="s">
        <v>279</v>
      </c>
      <c r="B11" s="380"/>
      <c r="C11" s="413">
        <v>0</v>
      </c>
      <c r="D11" s="400">
        <v>0</v>
      </c>
      <c r="E11" s="413">
        <v>2991</v>
      </c>
      <c r="F11" s="400">
        <v>240.16666666666666</v>
      </c>
      <c r="G11" s="382"/>
      <c r="H11" s="380"/>
      <c r="I11" s="15"/>
    </row>
    <row r="12" spans="1:9" ht="12.75" customHeight="1">
      <c r="A12" s="389" t="s">
        <v>278</v>
      </c>
      <c r="B12" s="380"/>
      <c r="C12" s="413">
        <v>1994</v>
      </c>
      <c r="D12" s="400">
        <v>169</v>
      </c>
      <c r="E12" s="413">
        <v>120320.4</v>
      </c>
      <c r="F12" s="400">
        <v>189.28036143496868</v>
      </c>
      <c r="G12" s="382"/>
      <c r="H12" s="380"/>
      <c r="I12" s="15"/>
    </row>
    <row r="13" spans="1:9" ht="12.75" customHeight="1">
      <c r="A13" s="389" t="s">
        <v>1208</v>
      </c>
      <c r="B13" s="380"/>
      <c r="C13" s="413">
        <v>3989.4</v>
      </c>
      <c r="D13" s="400">
        <v>196.00087732491102</v>
      </c>
      <c r="E13" s="413">
        <v>39376.4</v>
      </c>
      <c r="F13" s="400">
        <v>195.02741489826394</v>
      </c>
      <c r="G13" s="382"/>
      <c r="H13" s="380"/>
      <c r="I13" s="15"/>
    </row>
    <row r="14" spans="1:9" ht="12.75" customHeight="1">
      <c r="A14" s="389" t="s">
        <v>280</v>
      </c>
      <c r="B14" s="380"/>
      <c r="C14" s="413">
        <v>6487.2</v>
      </c>
      <c r="D14" s="400">
        <v>132.16571093846343</v>
      </c>
      <c r="E14" s="413">
        <v>276098.2</v>
      </c>
      <c r="F14" s="400">
        <v>162.46401425289986</v>
      </c>
      <c r="G14" s="382"/>
      <c r="H14" s="380"/>
      <c r="I14" s="15"/>
    </row>
    <row r="15" spans="1:9" ht="12.75" customHeight="1">
      <c r="A15" s="389" t="s">
        <v>281</v>
      </c>
      <c r="B15" s="380"/>
      <c r="C15" s="413">
        <v>0</v>
      </c>
      <c r="D15" s="400">
        <v>0</v>
      </c>
      <c r="E15" s="413">
        <v>83085.09999999999</v>
      </c>
      <c r="F15" s="400">
        <v>121.3495668898515</v>
      </c>
      <c r="G15" s="382"/>
      <c r="H15" s="380"/>
      <c r="I15" s="15"/>
    </row>
    <row r="16" spans="1:9" ht="12.75" customHeight="1">
      <c r="A16" s="389" t="s">
        <v>1209</v>
      </c>
      <c r="B16" s="380"/>
      <c r="C16" s="413">
        <v>0</v>
      </c>
      <c r="D16" s="400">
        <v>0</v>
      </c>
      <c r="E16" s="413">
        <v>1745.4</v>
      </c>
      <c r="F16" s="400">
        <v>101.43405523089262</v>
      </c>
      <c r="G16" s="382"/>
      <c r="H16" s="380"/>
      <c r="I16" s="15"/>
    </row>
    <row r="17" spans="1:9" ht="12.75" customHeight="1">
      <c r="A17" s="389" t="s">
        <v>1210</v>
      </c>
      <c r="B17" s="380"/>
      <c r="C17" s="413">
        <v>0</v>
      </c>
      <c r="D17" s="400">
        <v>0</v>
      </c>
      <c r="E17" s="413">
        <v>11966.1</v>
      </c>
      <c r="F17" s="400">
        <v>100</v>
      </c>
      <c r="G17" s="382"/>
      <c r="H17" s="380"/>
      <c r="I17" s="15"/>
    </row>
    <row r="18" spans="1:9" ht="12.75" customHeight="1">
      <c r="A18" s="389" t="s">
        <v>1211</v>
      </c>
      <c r="B18" s="380"/>
      <c r="C18" s="413">
        <v>0</v>
      </c>
      <c r="D18" s="400">
        <v>0</v>
      </c>
      <c r="E18" s="413">
        <v>7487.9</v>
      </c>
      <c r="F18" s="400">
        <v>208.66708957117484</v>
      </c>
      <c r="G18" s="382"/>
      <c r="H18" s="380"/>
      <c r="I18" s="15"/>
    </row>
    <row r="19" spans="1:9" ht="12.75" customHeight="1">
      <c r="A19" s="389" t="s">
        <v>1212</v>
      </c>
      <c r="B19" s="380"/>
      <c r="C19" s="413">
        <v>0</v>
      </c>
      <c r="D19" s="400">
        <v>0</v>
      </c>
      <c r="E19" s="413">
        <v>30402.899999999998</v>
      </c>
      <c r="F19" s="400">
        <v>177.0111831437133</v>
      </c>
      <c r="G19" s="382"/>
      <c r="H19" s="380"/>
      <c r="I19" s="15"/>
    </row>
    <row r="20" spans="1:9" ht="12.75" customHeight="1">
      <c r="A20" s="389" t="s">
        <v>282</v>
      </c>
      <c r="B20" s="380"/>
      <c r="C20" s="413">
        <v>2493.7</v>
      </c>
      <c r="D20" s="400">
        <v>188.2941412359145</v>
      </c>
      <c r="E20" s="413">
        <v>69525.79999999999</v>
      </c>
      <c r="F20" s="400">
        <v>182.38632852840243</v>
      </c>
      <c r="G20" s="382"/>
      <c r="H20" s="380"/>
      <c r="I20" s="15"/>
    </row>
    <row r="21" spans="1:9" ht="12.75" customHeight="1">
      <c r="A21" s="389" t="s">
        <v>283</v>
      </c>
      <c r="B21" s="380"/>
      <c r="C21" s="413">
        <v>6171.5</v>
      </c>
      <c r="D21" s="400">
        <v>237.77890302195576</v>
      </c>
      <c r="E21" s="413">
        <v>473758.7000000001</v>
      </c>
      <c r="F21" s="400">
        <v>266.17933918680535</v>
      </c>
      <c r="G21" s="382"/>
      <c r="H21" s="380"/>
      <c r="I21" s="15"/>
    </row>
    <row r="22" spans="1:9" ht="12.75" customHeight="1">
      <c r="A22" s="389" t="s">
        <v>284</v>
      </c>
      <c r="B22" s="380"/>
      <c r="C22" s="413">
        <v>0</v>
      </c>
      <c r="D22" s="400">
        <v>0</v>
      </c>
      <c r="E22" s="413">
        <v>33357.7</v>
      </c>
      <c r="F22" s="400">
        <v>112.66166132557102</v>
      </c>
      <c r="G22" s="382"/>
      <c r="H22" s="380"/>
      <c r="I22" s="15"/>
    </row>
    <row r="23" spans="1:9" ht="12.75" customHeight="1">
      <c r="A23" s="389" t="s">
        <v>285</v>
      </c>
      <c r="B23" s="380"/>
      <c r="C23" s="413">
        <v>0</v>
      </c>
      <c r="D23" s="400">
        <v>0</v>
      </c>
      <c r="E23" s="413">
        <v>101404.29999999999</v>
      </c>
      <c r="F23" s="400">
        <v>173.29233572935271</v>
      </c>
      <c r="G23" s="382"/>
      <c r="H23" s="380"/>
      <c r="I23" s="15"/>
    </row>
    <row r="24" spans="1:9" ht="12.75" customHeight="1">
      <c r="A24" s="389" t="s">
        <v>1213</v>
      </c>
      <c r="B24" s="380"/>
      <c r="C24" s="413">
        <v>0</v>
      </c>
      <c r="D24" s="400">
        <v>0</v>
      </c>
      <c r="E24" s="413">
        <v>22426.7</v>
      </c>
      <c r="F24" s="400">
        <v>136.7184070772784</v>
      </c>
      <c r="G24" s="382"/>
      <c r="H24" s="380"/>
      <c r="I24" s="15"/>
    </row>
    <row r="25" spans="1:9" ht="12.75" customHeight="1">
      <c r="A25" s="389" t="s">
        <v>286</v>
      </c>
      <c r="B25" s="380"/>
      <c r="C25" s="413">
        <v>6988.6</v>
      </c>
      <c r="D25" s="400">
        <v>206.92255959705807</v>
      </c>
      <c r="E25" s="413">
        <v>203514.7</v>
      </c>
      <c r="F25" s="400">
        <v>226.27867470998405</v>
      </c>
      <c r="G25" s="382"/>
      <c r="H25" s="380"/>
      <c r="I25" s="15"/>
    </row>
    <row r="26" spans="1:9" ht="12.75" customHeight="1">
      <c r="A26" s="389" t="s">
        <v>1214</v>
      </c>
      <c r="B26" s="380"/>
      <c r="C26" s="413">
        <v>0</v>
      </c>
      <c r="D26" s="400">
        <v>0</v>
      </c>
      <c r="E26" s="413">
        <v>12462.5</v>
      </c>
      <c r="F26" s="400">
        <v>193.64</v>
      </c>
      <c r="G26" s="382"/>
      <c r="H26" s="380"/>
      <c r="I26" s="15"/>
    </row>
    <row r="27" spans="1:9" ht="12.75" customHeight="1">
      <c r="A27" s="389" t="s">
        <v>287</v>
      </c>
      <c r="B27" s="380"/>
      <c r="C27" s="413">
        <v>1744.7</v>
      </c>
      <c r="D27" s="400">
        <v>151.42746604000686</v>
      </c>
      <c r="E27" s="413">
        <v>164849.3</v>
      </c>
      <c r="F27" s="400">
        <v>174.69950251532765</v>
      </c>
      <c r="G27" s="382"/>
      <c r="H27" s="380"/>
      <c r="I27" s="15"/>
    </row>
    <row r="28" spans="1:9" ht="12.75" customHeight="1">
      <c r="A28" s="389" t="s">
        <v>288</v>
      </c>
      <c r="B28" s="380"/>
      <c r="C28" s="413">
        <v>9484.6</v>
      </c>
      <c r="D28" s="400">
        <v>159.4757501634228</v>
      </c>
      <c r="E28" s="413">
        <v>406206.49999999994</v>
      </c>
      <c r="F28" s="400">
        <v>179.26037175672965</v>
      </c>
      <c r="G28" s="382"/>
      <c r="H28" s="380"/>
      <c r="I28" s="15"/>
    </row>
    <row r="29" spans="1:9" ht="12.75" customHeight="1">
      <c r="A29" s="389" t="s">
        <v>1215</v>
      </c>
      <c r="B29" s="380"/>
      <c r="C29" s="413">
        <v>0</v>
      </c>
      <c r="D29" s="400">
        <v>0</v>
      </c>
      <c r="E29" s="413">
        <v>12483.4</v>
      </c>
      <c r="F29" s="400">
        <v>128.42010990595512</v>
      </c>
      <c r="G29" s="382"/>
      <c r="H29" s="380"/>
      <c r="I29" s="15"/>
    </row>
    <row r="30" spans="1:9" ht="12.75" customHeight="1">
      <c r="A30" s="389" t="s">
        <v>289</v>
      </c>
      <c r="B30" s="380"/>
      <c r="C30" s="413">
        <v>43944.3</v>
      </c>
      <c r="D30" s="400">
        <v>201.35188181402364</v>
      </c>
      <c r="E30" s="413">
        <v>324526.89999999997</v>
      </c>
      <c r="F30" s="400">
        <v>221.35119800546582</v>
      </c>
      <c r="G30" s="382"/>
      <c r="H30" s="380"/>
      <c r="I30" s="15"/>
    </row>
    <row r="31" spans="1:9" ht="12.75" customHeight="1">
      <c r="A31" s="389" t="s">
        <v>290</v>
      </c>
      <c r="B31" s="380"/>
      <c r="C31" s="413">
        <v>1745</v>
      </c>
      <c r="D31" s="400">
        <v>95.99971346704871</v>
      </c>
      <c r="E31" s="413">
        <v>46786.799999999996</v>
      </c>
      <c r="F31" s="400">
        <v>107.00774363709424</v>
      </c>
      <c r="G31" s="382"/>
      <c r="H31" s="380"/>
      <c r="I31" s="15"/>
    </row>
    <row r="32" spans="1:9" ht="12.75" customHeight="1">
      <c r="A32" s="389" t="s">
        <v>291</v>
      </c>
      <c r="B32" s="380"/>
      <c r="C32" s="413">
        <v>6983.3</v>
      </c>
      <c r="D32" s="400">
        <v>128.71414660690505</v>
      </c>
      <c r="E32" s="413">
        <v>210133.80000000002</v>
      </c>
      <c r="F32" s="400">
        <v>135.8720172575759</v>
      </c>
      <c r="G32" s="382"/>
      <c r="H32" s="380"/>
      <c r="I32" s="15"/>
    </row>
    <row r="33" spans="1:9" ht="12.75" customHeight="1">
      <c r="A33" s="389" t="s">
        <v>292</v>
      </c>
      <c r="B33" s="380"/>
      <c r="C33" s="413">
        <v>0</v>
      </c>
      <c r="D33" s="400">
        <v>0</v>
      </c>
      <c r="E33" s="413">
        <v>112154.09999999996</v>
      </c>
      <c r="F33" s="400">
        <v>215.96456928458267</v>
      </c>
      <c r="G33" s="382"/>
      <c r="H33" s="380"/>
      <c r="I33" s="15"/>
    </row>
    <row r="34" spans="1:9" ht="12.75" customHeight="1">
      <c r="A34" s="389" t="s">
        <v>1216</v>
      </c>
      <c r="B34" s="380"/>
      <c r="C34" s="413">
        <v>0</v>
      </c>
      <c r="D34" s="400">
        <v>0</v>
      </c>
      <c r="E34" s="413">
        <v>8975.8</v>
      </c>
      <c r="F34" s="400">
        <v>171.7285478731701</v>
      </c>
      <c r="G34" s="382"/>
      <c r="H34" s="380"/>
      <c r="I34" s="15"/>
    </row>
    <row r="35" spans="1:9" ht="12.75" customHeight="1">
      <c r="A35" s="389" t="s">
        <v>294</v>
      </c>
      <c r="B35" s="380"/>
      <c r="C35" s="413">
        <v>0</v>
      </c>
      <c r="D35" s="400">
        <v>0</v>
      </c>
      <c r="E35" s="413">
        <v>13138.2</v>
      </c>
      <c r="F35" s="400">
        <v>100.47320028618836</v>
      </c>
      <c r="G35" s="382"/>
      <c r="H35" s="380"/>
      <c r="I35" s="15"/>
    </row>
    <row r="36" spans="1:9" ht="12.75" customHeight="1">
      <c r="A36" s="389" t="s">
        <v>295</v>
      </c>
      <c r="B36" s="380"/>
      <c r="C36" s="413">
        <v>0</v>
      </c>
      <c r="D36" s="400">
        <v>0</v>
      </c>
      <c r="E36" s="413">
        <v>102297.9</v>
      </c>
      <c r="F36" s="400">
        <v>119.40545211583034</v>
      </c>
      <c r="G36" s="382"/>
      <c r="H36" s="380"/>
      <c r="I36" s="15"/>
    </row>
    <row r="37" spans="1:9" ht="12.75" customHeight="1">
      <c r="A37" s="389" t="s">
        <v>293</v>
      </c>
      <c r="B37" s="380"/>
      <c r="C37" s="413">
        <v>0</v>
      </c>
      <c r="D37" s="400">
        <v>0</v>
      </c>
      <c r="E37" s="413">
        <v>162656.9</v>
      </c>
      <c r="F37" s="400">
        <v>185.94891271135748</v>
      </c>
      <c r="G37" s="382"/>
      <c r="H37" s="380"/>
      <c r="I37" s="15"/>
    </row>
    <row r="38" spans="1:9" ht="12.75" customHeight="1">
      <c r="A38" s="389" t="s">
        <v>1217</v>
      </c>
      <c r="B38" s="380"/>
      <c r="C38" s="413">
        <v>0</v>
      </c>
      <c r="D38" s="400">
        <v>0</v>
      </c>
      <c r="E38" s="413">
        <v>32885.8</v>
      </c>
      <c r="F38" s="400">
        <v>193.86342433512334</v>
      </c>
      <c r="G38" s="382"/>
      <c r="H38" s="380"/>
      <c r="I38" s="15"/>
    </row>
    <row r="39" spans="1:9" ht="12.75" customHeight="1">
      <c r="A39" s="389" t="s">
        <v>1218</v>
      </c>
      <c r="B39" s="380"/>
      <c r="C39" s="413">
        <v>0</v>
      </c>
      <c r="D39" s="400">
        <v>0</v>
      </c>
      <c r="E39" s="413">
        <v>29457.4</v>
      </c>
      <c r="F39" s="400">
        <v>180.93801557503377</v>
      </c>
      <c r="G39" s="382"/>
      <c r="H39" s="380"/>
      <c r="I39" s="15"/>
    </row>
    <row r="40" spans="1:9" ht="12.75" customHeight="1">
      <c r="A40" s="389" t="s">
        <v>296</v>
      </c>
      <c r="B40" s="380"/>
      <c r="C40" s="413">
        <v>1997</v>
      </c>
      <c r="D40" s="400">
        <v>135</v>
      </c>
      <c r="E40" s="413">
        <v>143168.30000000002</v>
      </c>
      <c r="F40" s="400">
        <v>157.9845678128468</v>
      </c>
      <c r="G40" s="382"/>
      <c r="H40" s="380"/>
      <c r="I40" s="15"/>
    </row>
    <row r="41" spans="1:9" ht="12.75" customHeight="1">
      <c r="A41" s="389" t="s">
        <v>297</v>
      </c>
      <c r="B41" s="380"/>
      <c r="C41" s="413">
        <v>0</v>
      </c>
      <c r="D41" s="400">
        <v>0</v>
      </c>
      <c r="E41" s="413">
        <v>69503.8</v>
      </c>
      <c r="F41" s="400">
        <v>113.9722763359701</v>
      </c>
      <c r="G41" s="382"/>
      <c r="H41" s="380"/>
      <c r="I41" s="15"/>
    </row>
    <row r="42" spans="1:9" ht="12.75" customHeight="1">
      <c r="A42" s="389" t="s">
        <v>313</v>
      </c>
      <c r="B42" s="380"/>
      <c r="C42" s="413">
        <v>0</v>
      </c>
      <c r="D42" s="400">
        <v>0</v>
      </c>
      <c r="E42" s="413">
        <v>67243.5</v>
      </c>
      <c r="F42" s="400">
        <v>166.6340270806844</v>
      </c>
      <c r="G42" s="382"/>
      <c r="H42" s="380"/>
      <c r="I42" s="15"/>
    </row>
    <row r="43" spans="1:9" ht="12.75" customHeight="1">
      <c r="A43" s="389" t="s">
        <v>298</v>
      </c>
      <c r="B43" s="380"/>
      <c r="C43" s="413">
        <v>5976</v>
      </c>
      <c r="D43" s="400">
        <v>121.91899263721554</v>
      </c>
      <c r="E43" s="413">
        <v>481840</v>
      </c>
      <c r="F43" s="400">
        <v>174.17599452100282</v>
      </c>
      <c r="G43" s="382"/>
      <c r="H43" s="380"/>
      <c r="I43" s="15"/>
    </row>
    <row r="44" spans="1:9" ht="12.75" customHeight="1">
      <c r="A44" s="389" t="s">
        <v>1219</v>
      </c>
      <c r="B44" s="380"/>
      <c r="C44" s="413">
        <v>0</v>
      </c>
      <c r="D44" s="400">
        <v>0</v>
      </c>
      <c r="E44" s="413">
        <v>21953.3</v>
      </c>
      <c r="F44" s="400">
        <v>203.63665143736932</v>
      </c>
      <c r="G44" s="382"/>
      <c r="H44" s="380"/>
      <c r="I44" s="15"/>
    </row>
    <row r="45" spans="1:9" ht="12.75" customHeight="1">
      <c r="A45" s="389" t="s">
        <v>299</v>
      </c>
      <c r="B45" s="380"/>
      <c r="C45" s="413">
        <v>997</v>
      </c>
      <c r="D45" s="400">
        <v>114.5</v>
      </c>
      <c r="E45" s="413">
        <v>73016.09999999999</v>
      </c>
      <c r="F45" s="400">
        <v>116.57502112547782</v>
      </c>
      <c r="G45" s="382"/>
      <c r="H45" s="380"/>
      <c r="I45" s="15"/>
    </row>
    <row r="46" spans="1:9" ht="12.75" customHeight="1">
      <c r="A46" s="389" t="s">
        <v>1220</v>
      </c>
      <c r="B46" s="380"/>
      <c r="C46" s="413">
        <v>0</v>
      </c>
      <c r="D46" s="400">
        <v>0</v>
      </c>
      <c r="E46" s="413">
        <v>17966.1</v>
      </c>
      <c r="F46" s="400">
        <v>108.66740694975537</v>
      </c>
      <c r="G46" s="382"/>
      <c r="H46" s="380"/>
      <c r="I46" s="15"/>
    </row>
    <row r="47" spans="1:9" ht="12.75" customHeight="1">
      <c r="A47" s="389" t="s">
        <v>300</v>
      </c>
      <c r="B47" s="380"/>
      <c r="C47" s="413">
        <v>0</v>
      </c>
      <c r="D47" s="400">
        <v>0</v>
      </c>
      <c r="E47" s="413">
        <v>73605.7</v>
      </c>
      <c r="F47" s="400">
        <v>118.1108596209261</v>
      </c>
      <c r="G47" s="382"/>
      <c r="H47" s="380"/>
      <c r="I47" s="15"/>
    </row>
    <row r="48" spans="1:9" ht="12.75" customHeight="1">
      <c r="A48" s="389" t="s">
        <v>301</v>
      </c>
      <c r="B48" s="380"/>
      <c r="C48" s="413">
        <v>10485.4</v>
      </c>
      <c r="D48" s="400">
        <v>182.37818299731055</v>
      </c>
      <c r="E48" s="413">
        <v>640368.3</v>
      </c>
      <c r="F48" s="400">
        <v>208.36367181198693</v>
      </c>
      <c r="G48" s="382"/>
      <c r="H48" s="380"/>
      <c r="I48" s="15"/>
    </row>
    <row r="49" spans="1:9" ht="12.75" customHeight="1">
      <c r="A49" s="389" t="s">
        <v>302</v>
      </c>
      <c r="B49" s="380"/>
      <c r="C49" s="413">
        <v>0</v>
      </c>
      <c r="D49" s="400">
        <v>0</v>
      </c>
      <c r="E49" s="413">
        <v>166103.60000000003</v>
      </c>
      <c r="F49" s="400">
        <v>112.52301756253324</v>
      </c>
      <c r="G49" s="382"/>
      <c r="H49" s="380"/>
      <c r="I49" s="15"/>
    </row>
    <row r="50" spans="1:9" ht="12.75" customHeight="1">
      <c r="A50" s="389" t="s">
        <v>303</v>
      </c>
      <c r="B50" s="380"/>
      <c r="C50" s="413">
        <v>0</v>
      </c>
      <c r="D50" s="400">
        <v>0</v>
      </c>
      <c r="E50" s="413">
        <v>162516.40000000002</v>
      </c>
      <c r="F50" s="400">
        <v>127.02012843011535</v>
      </c>
      <c r="G50" s="382"/>
      <c r="H50" s="380"/>
      <c r="I50" s="15"/>
    </row>
    <row r="51" spans="1:9" ht="12.75" customHeight="1">
      <c r="A51" s="389" t="s">
        <v>314</v>
      </c>
      <c r="B51" s="380"/>
      <c r="C51" s="413">
        <v>0</v>
      </c>
      <c r="D51" s="400">
        <v>0</v>
      </c>
      <c r="E51" s="413">
        <v>58857.5</v>
      </c>
      <c r="F51" s="400">
        <v>168.37589771906724</v>
      </c>
      <c r="G51" s="382"/>
      <c r="H51" s="380"/>
      <c r="I51" s="15"/>
    </row>
    <row r="52" spans="1:9" ht="12.75" customHeight="1">
      <c r="A52" s="389" t="s">
        <v>1221</v>
      </c>
      <c r="B52" s="380"/>
      <c r="C52" s="501">
        <v>0</v>
      </c>
      <c r="D52" s="404">
        <v>0</v>
      </c>
      <c r="E52" s="501">
        <v>7951</v>
      </c>
      <c r="F52" s="404">
        <v>107.37240598666834</v>
      </c>
      <c r="G52" s="382"/>
      <c r="H52" s="380"/>
      <c r="I52" s="15"/>
    </row>
    <row r="53" spans="1:9" ht="12.75" customHeight="1">
      <c r="A53" s="389" t="s">
        <v>304</v>
      </c>
      <c r="B53" s="380"/>
      <c r="C53" s="501">
        <v>111481.7</v>
      </c>
      <c r="D53" s="404">
        <v>180.0783554610308</v>
      </c>
      <c r="E53" s="501">
        <v>5198647.999999999</v>
      </c>
      <c r="F53" s="404">
        <v>180.97490412891966</v>
      </c>
      <c r="G53" s="382"/>
      <c r="H53" s="380"/>
      <c r="I53" s="15"/>
    </row>
    <row r="54" spans="1:9" ht="12.75" customHeight="1">
      <c r="A54" s="392" t="s">
        <v>36</v>
      </c>
      <c r="B54" s="380"/>
      <c r="C54" s="413"/>
      <c r="D54" s="400"/>
      <c r="E54" s="413"/>
      <c r="F54" s="400"/>
      <c r="G54" s="382"/>
      <c r="H54" s="380"/>
      <c r="I54" s="15"/>
    </row>
    <row r="55" spans="1:9" ht="12.75" customHeight="1">
      <c r="A55" s="392" t="s">
        <v>1222</v>
      </c>
      <c r="B55" s="390"/>
      <c r="C55" s="393" t="s">
        <v>0</v>
      </c>
      <c r="D55" s="394" t="s">
        <v>1</v>
      </c>
      <c r="E55" s="393" t="s">
        <v>0</v>
      </c>
      <c r="F55" s="394" t="s">
        <v>1</v>
      </c>
      <c r="G55" s="382"/>
      <c r="H55" s="380"/>
      <c r="I55" s="15"/>
    </row>
    <row r="56" spans="1:9" ht="12.75" customHeight="1">
      <c r="A56" s="389" t="s">
        <v>1223</v>
      </c>
      <c r="B56" s="380"/>
      <c r="C56" s="413">
        <v>0</v>
      </c>
      <c r="D56" s="400">
        <v>0</v>
      </c>
      <c r="E56" s="413">
        <v>8487.2</v>
      </c>
      <c r="F56" s="400">
        <v>128.8821637289094</v>
      </c>
      <c r="G56" s="382"/>
      <c r="H56" s="380"/>
      <c r="I56" s="15"/>
    </row>
    <row r="57" spans="1:9" ht="12.75" customHeight="1">
      <c r="A57" s="389" t="s">
        <v>1224</v>
      </c>
      <c r="B57" s="380"/>
      <c r="C57" s="413">
        <v>0</v>
      </c>
      <c r="D57" s="400">
        <v>0</v>
      </c>
      <c r="E57" s="413">
        <v>11368.6</v>
      </c>
      <c r="F57" s="400">
        <v>145.43879633376142</v>
      </c>
      <c r="G57" s="382"/>
      <c r="H57" s="380"/>
      <c r="I57" s="15"/>
    </row>
    <row r="58" spans="1:9" ht="12.75" customHeight="1">
      <c r="A58" s="389" t="s">
        <v>1225</v>
      </c>
      <c r="B58" s="380"/>
      <c r="C58" s="413">
        <v>0</v>
      </c>
      <c r="D58" s="400">
        <v>0</v>
      </c>
      <c r="E58" s="501">
        <v>43406.5</v>
      </c>
      <c r="F58" s="404">
        <v>162.2808611613468</v>
      </c>
      <c r="G58" s="382"/>
      <c r="H58" s="380"/>
      <c r="I58" s="15"/>
    </row>
    <row r="59" spans="1:9" ht="12.75" customHeight="1">
      <c r="A59" s="389" t="s">
        <v>304</v>
      </c>
      <c r="B59" s="380"/>
      <c r="C59" s="501">
        <v>0</v>
      </c>
      <c r="D59" s="404">
        <v>0</v>
      </c>
      <c r="E59" s="501">
        <v>63262.3</v>
      </c>
      <c r="F59" s="404">
        <v>154.77351281885103</v>
      </c>
      <c r="G59" s="382"/>
      <c r="H59" s="380"/>
      <c r="I59" s="15"/>
    </row>
    <row r="60" spans="1:9" ht="12.75" customHeight="1">
      <c r="A60" s="389" t="s">
        <v>1226</v>
      </c>
      <c r="B60" s="380"/>
      <c r="C60" s="501">
        <v>111481.7</v>
      </c>
      <c r="D60" s="404">
        <v>180.0783554610308</v>
      </c>
      <c r="E60" s="501">
        <v>5261910.299999998</v>
      </c>
      <c r="F60" s="404">
        <v>180.65989300501764</v>
      </c>
      <c r="G60" s="382"/>
      <c r="H60" s="380"/>
      <c r="I60" s="15"/>
    </row>
    <row r="61" spans="1:9" ht="12.75" customHeight="1">
      <c r="A61" s="392" t="s">
        <v>1227</v>
      </c>
      <c r="B61" s="390"/>
      <c r="C61" s="393" t="s">
        <v>306</v>
      </c>
      <c r="D61" s="394" t="s">
        <v>307</v>
      </c>
      <c r="E61" s="393" t="s">
        <v>306</v>
      </c>
      <c r="F61" s="394" t="s">
        <v>307</v>
      </c>
      <c r="G61" s="382"/>
      <c r="H61" s="380"/>
      <c r="I61" s="15"/>
    </row>
    <row r="62" spans="1:9" ht="12.75" customHeight="1">
      <c r="A62" s="389" t="s">
        <v>287</v>
      </c>
      <c r="B62" s="380"/>
      <c r="C62" s="413">
        <v>10</v>
      </c>
      <c r="D62" s="400">
        <v>1350</v>
      </c>
      <c r="E62" s="413">
        <v>138</v>
      </c>
      <c r="F62" s="400">
        <v>1310.144927536232</v>
      </c>
      <c r="G62" s="382"/>
      <c r="H62" s="380"/>
      <c r="I62" s="15"/>
    </row>
    <row r="63" spans="1:9" ht="12.75" customHeight="1">
      <c r="A63" s="389" t="s">
        <v>1218</v>
      </c>
      <c r="B63" s="380"/>
      <c r="C63" s="501">
        <v>0</v>
      </c>
      <c r="D63" s="404">
        <v>0</v>
      </c>
      <c r="E63" s="501">
        <v>12</v>
      </c>
      <c r="F63" s="404">
        <v>1212.5</v>
      </c>
      <c r="G63" s="382"/>
      <c r="H63" s="380"/>
      <c r="I63" s="15"/>
    </row>
    <row r="64" spans="1:9" ht="12.75" customHeight="1">
      <c r="A64" s="389" t="s">
        <v>304</v>
      </c>
      <c r="B64" s="380"/>
      <c r="C64" s="501">
        <v>10</v>
      </c>
      <c r="D64" s="404">
        <v>1350</v>
      </c>
      <c r="E64" s="501">
        <v>150</v>
      </c>
      <c r="F64" s="404">
        <v>1302.3333333333333</v>
      </c>
      <c r="G64" s="382"/>
      <c r="H64" s="380"/>
      <c r="I64" s="15"/>
    </row>
    <row r="65" spans="1:9" ht="12.75" customHeight="1">
      <c r="A65" s="389" t="s">
        <v>1226</v>
      </c>
      <c r="B65" s="380"/>
      <c r="C65" s="501">
        <v>111491.7</v>
      </c>
      <c r="D65" s="404">
        <v>180.18328898025592</v>
      </c>
      <c r="E65" s="501">
        <v>5262559.499999998</v>
      </c>
      <c r="F65" s="404">
        <v>180.6971206691345</v>
      </c>
      <c r="G65" s="382"/>
      <c r="H65" s="380"/>
      <c r="I65" s="15"/>
    </row>
    <row r="66" spans="1:9" ht="12.75" customHeight="1">
      <c r="A66" s="392" t="s">
        <v>1228</v>
      </c>
      <c r="B66" s="380"/>
      <c r="C66" s="501" t="s">
        <v>0</v>
      </c>
      <c r="D66" s="404" t="s">
        <v>1</v>
      </c>
      <c r="E66" s="501" t="s">
        <v>0</v>
      </c>
      <c r="F66" s="404" t="s">
        <v>1</v>
      </c>
      <c r="G66" s="382"/>
      <c r="H66" s="380"/>
      <c r="I66" s="15"/>
    </row>
    <row r="67" spans="1:9" ht="12.75" customHeight="1">
      <c r="A67" s="389" t="s">
        <v>278</v>
      </c>
      <c r="B67" s="380"/>
      <c r="C67" s="413">
        <v>0</v>
      </c>
      <c r="D67" s="400">
        <v>0</v>
      </c>
      <c r="E67" s="413">
        <v>1183</v>
      </c>
      <c r="F67" s="400">
        <v>217.62890955198648</v>
      </c>
      <c r="G67" s="382"/>
      <c r="H67" s="380"/>
      <c r="I67" s="15"/>
    </row>
    <row r="68" spans="1:9" ht="12.75" customHeight="1">
      <c r="A68" s="389" t="s">
        <v>294</v>
      </c>
      <c r="B68" s="380"/>
      <c r="C68" s="413">
        <v>0</v>
      </c>
      <c r="D68" s="400">
        <v>0</v>
      </c>
      <c r="E68" s="501">
        <v>497</v>
      </c>
      <c r="F68" s="404">
        <v>115</v>
      </c>
      <c r="G68" s="382"/>
      <c r="H68" s="380"/>
      <c r="I68" s="15"/>
    </row>
    <row r="69" spans="1:9" ht="12.75" customHeight="1">
      <c r="A69" s="389" t="s">
        <v>304</v>
      </c>
      <c r="B69" s="380"/>
      <c r="C69" s="501">
        <v>0</v>
      </c>
      <c r="D69" s="404">
        <v>0</v>
      </c>
      <c r="E69" s="501">
        <v>1680</v>
      </c>
      <c r="F69" s="404">
        <v>187.26785714285714</v>
      </c>
      <c r="G69" s="382"/>
      <c r="H69" s="380"/>
      <c r="I69" s="15"/>
    </row>
    <row r="70" spans="1:9" ht="12.75" customHeight="1">
      <c r="A70" s="389" t="s">
        <v>308</v>
      </c>
      <c r="B70" s="380"/>
      <c r="C70" s="501">
        <v>111491.7</v>
      </c>
      <c r="D70" s="404">
        <v>180.18328898025592</v>
      </c>
      <c r="E70" s="501">
        <v>5263740.299999998</v>
      </c>
      <c r="F70" s="404">
        <v>180.69396618978337</v>
      </c>
      <c r="G70" s="382"/>
      <c r="H70" s="380"/>
      <c r="I70" s="15"/>
    </row>
    <row r="71" spans="1:9" ht="12.75" customHeight="1">
      <c r="A71" s="389"/>
      <c r="B71" s="380"/>
      <c r="C71" s="501" t="s">
        <v>1252</v>
      </c>
      <c r="D71" s="400"/>
      <c r="E71" s="550" t="s">
        <v>1254</v>
      </c>
      <c r="F71" s="400"/>
      <c r="H71" s="501"/>
      <c r="I71" s="15"/>
    </row>
    <row r="72" spans="1:9" ht="12.75" customHeight="1">
      <c r="A72" s="392" t="s">
        <v>40</v>
      </c>
      <c r="B72" s="390" t="s">
        <v>41</v>
      </c>
      <c r="C72" s="393" t="s">
        <v>0</v>
      </c>
      <c r="D72" s="394" t="s">
        <v>164</v>
      </c>
      <c r="E72" s="393" t="s">
        <v>41</v>
      </c>
      <c r="F72" s="394" t="s">
        <v>0</v>
      </c>
      <c r="G72" s="502" t="s">
        <v>164</v>
      </c>
      <c r="H72" s="503" t="s">
        <v>2</v>
      </c>
      <c r="I72" s="15"/>
    </row>
    <row r="73" spans="1:9" ht="12.75" customHeight="1">
      <c r="A73" s="389" t="s">
        <v>42</v>
      </c>
      <c r="B73" s="499">
        <v>0</v>
      </c>
      <c r="C73" s="429">
        <v>0</v>
      </c>
      <c r="D73" s="416">
        <v>0</v>
      </c>
      <c r="E73" s="428">
        <v>5</v>
      </c>
      <c r="F73" s="415">
        <v>249.5</v>
      </c>
      <c r="G73" s="498">
        <v>210</v>
      </c>
      <c r="H73" s="500">
        <v>4.739975488532366E-05</v>
      </c>
      <c r="I73" s="15"/>
    </row>
    <row r="74" spans="1:9" ht="12.75" customHeight="1">
      <c r="A74" s="389" t="s">
        <v>43</v>
      </c>
      <c r="B74" s="504">
        <v>2235</v>
      </c>
      <c r="C74" s="505">
        <v>111491.7</v>
      </c>
      <c r="D74" s="411">
        <v>180.18328898025592</v>
      </c>
      <c r="E74" s="506">
        <v>105538</v>
      </c>
      <c r="F74" s="410">
        <v>5263490.799999999</v>
      </c>
      <c r="G74" s="507">
        <v>180.69257702511803</v>
      </c>
      <c r="H74" s="508">
        <v>0.9999526002451147</v>
      </c>
      <c r="I74" s="15"/>
    </row>
    <row r="75" spans="1:9" ht="12.75" customHeight="1">
      <c r="A75" s="389" t="s">
        <v>44</v>
      </c>
      <c r="B75" s="504">
        <v>2235</v>
      </c>
      <c r="C75" s="505">
        <v>111491.7</v>
      </c>
      <c r="D75" s="411">
        <v>180.18328898025592</v>
      </c>
      <c r="E75" s="506">
        <v>105543</v>
      </c>
      <c r="F75" s="410">
        <v>5263740.299999999</v>
      </c>
      <c r="G75" s="507">
        <v>180.69396618978337</v>
      </c>
      <c r="H75" s="508">
        <v>1</v>
      </c>
      <c r="I75" s="15"/>
    </row>
    <row r="76" spans="1:9" ht="12.75" customHeight="1">
      <c r="A76" s="392"/>
      <c r="B76" s="380"/>
      <c r="C76" s="393"/>
      <c r="D76" s="394"/>
      <c r="E76" s="393"/>
      <c r="F76" s="394"/>
      <c r="G76" s="382"/>
      <c r="H76" s="380"/>
      <c r="I76" s="15"/>
    </row>
    <row r="77" spans="1:9" ht="12.75" customHeight="1">
      <c r="A77" s="395"/>
      <c r="B77" s="396"/>
      <c r="C77" s="397"/>
      <c r="D77" s="398"/>
      <c r="E77" s="399"/>
      <c r="F77" s="400"/>
      <c r="G77" s="444"/>
      <c r="H77" s="396"/>
      <c r="I77" s="15"/>
    </row>
    <row r="78" spans="1:9" ht="12.75" customHeight="1">
      <c r="A78" s="395"/>
      <c r="B78" s="396"/>
      <c r="C78" s="397"/>
      <c r="D78" s="398"/>
      <c r="E78" s="399"/>
      <c r="F78" s="400"/>
      <c r="G78" s="444"/>
      <c r="H78" s="396"/>
      <c r="I78" s="15"/>
    </row>
    <row r="79" spans="1:9" ht="12.75" customHeight="1">
      <c r="A79" s="395"/>
      <c r="B79" s="396"/>
      <c r="C79" s="397"/>
      <c r="D79" s="398"/>
      <c r="E79" s="399"/>
      <c r="F79" s="400"/>
      <c r="G79" s="444"/>
      <c r="H79" s="396"/>
      <c r="I79" s="15"/>
    </row>
    <row r="80" spans="1:9" ht="12.75" customHeight="1">
      <c r="A80" s="395"/>
      <c r="B80" s="396"/>
      <c r="C80" s="397"/>
      <c r="D80" s="398"/>
      <c r="E80" s="399"/>
      <c r="F80" s="400"/>
      <c r="G80" s="444"/>
      <c r="H80" s="396"/>
      <c r="I80" s="15"/>
    </row>
    <row r="81" spans="1:9" ht="12.75" customHeight="1">
      <c r="A81" s="395"/>
      <c r="B81" s="396"/>
      <c r="C81" s="397"/>
      <c r="D81" s="398"/>
      <c r="E81" s="399"/>
      <c r="F81" s="400"/>
      <c r="G81" s="444"/>
      <c r="H81" s="396"/>
      <c r="I81" s="15"/>
    </row>
    <row r="82" spans="1:9" ht="12.75" customHeight="1">
      <c r="A82" s="395"/>
      <c r="B82" s="396"/>
      <c r="C82" s="397"/>
      <c r="D82" s="398"/>
      <c r="E82" s="399"/>
      <c r="F82" s="400"/>
      <c r="G82" s="444"/>
      <c r="H82" s="396"/>
      <c r="I82" s="15"/>
    </row>
    <row r="83" spans="1:9" ht="12.75" customHeight="1">
      <c r="A83" s="395"/>
      <c r="B83" s="396"/>
      <c r="C83" s="397"/>
      <c r="D83" s="398"/>
      <c r="E83" s="399"/>
      <c r="F83" s="400"/>
      <c r="G83" s="444"/>
      <c r="H83" s="396"/>
      <c r="I83" s="15"/>
    </row>
    <row r="84" spans="1:9" ht="12.75" customHeight="1">
      <c r="A84" s="395"/>
      <c r="B84" s="396"/>
      <c r="C84" s="397"/>
      <c r="D84" s="398"/>
      <c r="E84" s="399"/>
      <c r="F84" s="400"/>
      <c r="G84" s="444"/>
      <c r="H84" s="396"/>
      <c r="I84" s="15"/>
    </row>
    <row r="85" spans="1:9" ht="12.75" customHeight="1">
      <c r="A85" s="395"/>
      <c r="B85" s="396"/>
      <c r="C85" s="397"/>
      <c r="D85" s="398"/>
      <c r="E85" s="399"/>
      <c r="F85" s="400"/>
      <c r="G85" s="444"/>
      <c r="H85" s="396"/>
      <c r="I85" s="15"/>
    </row>
    <row r="86" spans="1:9" ht="12.75" customHeight="1">
      <c r="A86" s="395"/>
      <c r="B86" s="396"/>
      <c r="C86" s="397"/>
      <c r="D86" s="398"/>
      <c r="E86" s="399"/>
      <c r="F86" s="400"/>
      <c r="G86" s="444"/>
      <c r="H86" s="396"/>
      <c r="I86" s="15"/>
    </row>
    <row r="87" spans="1:9" ht="12.75" customHeight="1">
      <c r="A87" s="395"/>
      <c r="B87" s="396"/>
      <c r="C87" s="397"/>
      <c r="D87" s="398"/>
      <c r="E87" s="399"/>
      <c r="F87" s="400"/>
      <c r="G87" s="444"/>
      <c r="H87" s="396"/>
      <c r="I87" s="15"/>
    </row>
    <row r="88" spans="1:9" ht="12.75" customHeight="1">
      <c r="A88" s="395"/>
      <c r="B88" s="396"/>
      <c r="C88" s="397"/>
      <c r="D88" s="398"/>
      <c r="E88" s="399"/>
      <c r="F88" s="400"/>
      <c r="G88" s="444"/>
      <c r="H88" s="396"/>
      <c r="I88" s="15"/>
    </row>
    <row r="89" spans="1:9" ht="12.75" customHeight="1">
      <c r="A89" s="395"/>
      <c r="B89" s="396"/>
      <c r="C89" s="397"/>
      <c r="D89" s="398"/>
      <c r="E89" s="399"/>
      <c r="F89" s="400"/>
      <c r="G89" s="444"/>
      <c r="H89" s="396"/>
      <c r="I89" s="15"/>
    </row>
    <row r="90" spans="1:9" ht="12.75" customHeight="1">
      <c r="A90" s="395"/>
      <c r="B90" s="396"/>
      <c r="C90" s="397"/>
      <c r="D90" s="398"/>
      <c r="E90" s="399"/>
      <c r="F90" s="400"/>
      <c r="G90" s="444"/>
      <c r="H90" s="396"/>
      <c r="I90" s="15"/>
    </row>
    <row r="91" spans="1:9" ht="12.75" customHeight="1">
      <c r="A91" s="395"/>
      <c r="B91" s="396"/>
      <c r="C91" s="397"/>
      <c r="D91" s="398"/>
      <c r="E91" s="399"/>
      <c r="F91" s="400"/>
      <c r="G91" s="444"/>
      <c r="H91" s="396"/>
      <c r="I91" s="15"/>
    </row>
    <row r="92" spans="1:9" ht="12.75" customHeight="1">
      <c r="A92" s="395"/>
      <c r="B92" s="396"/>
      <c r="C92" s="397"/>
      <c r="D92" s="398"/>
      <c r="E92" s="399"/>
      <c r="F92" s="400"/>
      <c r="G92" s="444"/>
      <c r="H92" s="396"/>
      <c r="I92" s="15"/>
    </row>
    <row r="93" spans="1:9" ht="12.75" customHeight="1">
      <c r="A93" s="395"/>
      <c r="B93" s="396"/>
      <c r="C93" s="397"/>
      <c r="D93" s="398"/>
      <c r="E93" s="399"/>
      <c r="F93" s="400"/>
      <c r="G93" s="444"/>
      <c r="H93" s="396"/>
      <c r="I93" s="15"/>
    </row>
    <row r="94" spans="1:9" ht="12.75" customHeight="1">
      <c r="A94" s="395"/>
      <c r="B94" s="396"/>
      <c r="C94" s="397"/>
      <c r="D94" s="398"/>
      <c r="E94" s="399"/>
      <c r="F94" s="400"/>
      <c r="G94" s="444"/>
      <c r="H94" s="396"/>
      <c r="I94" s="15"/>
    </row>
    <row r="95" spans="1:9" ht="12.75" customHeight="1">
      <c r="A95" s="395"/>
      <c r="B95" s="396"/>
      <c r="C95" s="397"/>
      <c r="D95" s="398"/>
      <c r="E95" s="399"/>
      <c r="F95" s="400"/>
      <c r="G95" s="444"/>
      <c r="H95" s="396"/>
      <c r="I95" s="15"/>
    </row>
    <row r="96" spans="1:9" ht="12.75" customHeight="1">
      <c r="A96" s="395"/>
      <c r="B96" s="396"/>
      <c r="C96" s="397"/>
      <c r="D96" s="398"/>
      <c r="E96" s="399"/>
      <c r="F96" s="400"/>
      <c r="G96" s="444"/>
      <c r="H96" s="396"/>
      <c r="I96" s="15"/>
    </row>
    <row r="97" spans="1:9" ht="12.75" customHeight="1">
      <c r="A97" s="395"/>
      <c r="B97" s="396"/>
      <c r="C97" s="397"/>
      <c r="D97" s="398"/>
      <c r="E97" s="399"/>
      <c r="F97" s="400"/>
      <c r="G97" s="444"/>
      <c r="H97" s="396"/>
      <c r="I97" s="15"/>
    </row>
    <row r="98" spans="1:9" ht="12.75" customHeight="1">
      <c r="A98" s="395"/>
      <c r="B98" s="396"/>
      <c r="C98" s="397"/>
      <c r="D98" s="398"/>
      <c r="E98" s="399"/>
      <c r="F98" s="400"/>
      <c r="G98" s="444"/>
      <c r="H98" s="396"/>
      <c r="I98" s="15"/>
    </row>
    <row r="99" spans="1:9" ht="12.75" customHeight="1">
      <c r="A99" s="395"/>
      <c r="B99" s="396"/>
      <c r="C99" s="397"/>
      <c r="D99" s="398"/>
      <c r="E99" s="399"/>
      <c r="F99" s="400"/>
      <c r="G99" s="444"/>
      <c r="H99" s="396"/>
      <c r="I99" s="15"/>
    </row>
    <row r="100" spans="1:9" ht="12.75" customHeight="1">
      <c r="A100" s="395"/>
      <c r="B100" s="396"/>
      <c r="C100" s="397"/>
      <c r="D100" s="398"/>
      <c r="E100" s="399"/>
      <c r="F100" s="400"/>
      <c r="G100" s="444"/>
      <c r="H100" s="396"/>
      <c r="I100" s="15"/>
    </row>
    <row r="101" spans="1:9" ht="12.75" customHeight="1">
      <c r="A101" s="395"/>
      <c r="B101" s="396"/>
      <c r="C101" s="397"/>
      <c r="D101" s="398"/>
      <c r="E101" s="399"/>
      <c r="F101" s="400"/>
      <c r="G101" s="444"/>
      <c r="H101" s="396"/>
      <c r="I101" s="15"/>
    </row>
    <row r="102" spans="1:9" ht="12.75" customHeight="1">
      <c r="A102" s="395"/>
      <c r="B102" s="396"/>
      <c r="C102" s="397"/>
      <c r="D102" s="398"/>
      <c r="E102" s="399"/>
      <c r="F102" s="400"/>
      <c r="G102" s="444"/>
      <c r="H102" s="396"/>
      <c r="I102" s="15"/>
    </row>
    <row r="103" spans="1:9" ht="12.75" customHeight="1">
      <c r="A103" s="395"/>
      <c r="B103" s="396"/>
      <c r="C103" s="397"/>
      <c r="D103" s="398"/>
      <c r="E103" s="399"/>
      <c r="F103" s="400"/>
      <c r="G103" s="444"/>
      <c r="H103" s="396"/>
      <c r="I103" s="15"/>
    </row>
    <row r="104" spans="1:9" ht="12.75" customHeight="1">
      <c r="A104" s="395"/>
      <c r="B104" s="396"/>
      <c r="C104" s="397"/>
      <c r="D104" s="398"/>
      <c r="E104" s="399"/>
      <c r="F104" s="400"/>
      <c r="G104" s="444"/>
      <c r="H104" s="396"/>
      <c r="I104" s="15"/>
    </row>
    <row r="105" spans="1:9" ht="12.75" customHeight="1">
      <c r="A105" s="395"/>
      <c r="B105" s="396"/>
      <c r="C105" s="397"/>
      <c r="D105" s="398"/>
      <c r="E105" s="399"/>
      <c r="F105" s="400"/>
      <c r="G105" s="444"/>
      <c r="H105" s="396"/>
      <c r="I105" s="15"/>
    </row>
    <row r="106" spans="1:9" ht="12.75" customHeight="1">
      <c r="A106" s="395"/>
      <c r="B106" s="396"/>
      <c r="C106" s="397"/>
      <c r="D106" s="398"/>
      <c r="E106" s="399"/>
      <c r="F106" s="400"/>
      <c r="G106" s="444"/>
      <c r="H106" s="396"/>
      <c r="I106" s="15"/>
    </row>
    <row r="107" spans="1:9" ht="12.75" customHeight="1">
      <c r="A107" s="395"/>
      <c r="B107" s="396"/>
      <c r="C107" s="397"/>
      <c r="D107" s="398"/>
      <c r="E107" s="399"/>
      <c r="F107" s="400"/>
      <c r="G107" s="444"/>
      <c r="H107" s="396"/>
      <c r="I107" s="15"/>
    </row>
    <row r="108" spans="1:9" ht="12.75" customHeight="1">
      <c r="A108" s="395"/>
      <c r="B108" s="396"/>
      <c r="C108" s="397"/>
      <c r="D108" s="398"/>
      <c r="E108" s="399"/>
      <c r="F108" s="400"/>
      <c r="G108" s="444"/>
      <c r="H108" s="396"/>
      <c r="I108" s="15"/>
    </row>
    <row r="109" spans="1:9" ht="12.75" customHeight="1">
      <c r="A109" s="395"/>
      <c r="B109" s="396"/>
      <c r="C109" s="397"/>
      <c r="D109" s="398"/>
      <c r="E109" s="399"/>
      <c r="F109" s="400"/>
      <c r="G109" s="444"/>
      <c r="H109" s="396"/>
      <c r="I109" s="15"/>
    </row>
    <row r="110" spans="1:9" ht="12.75" customHeight="1">
      <c r="A110" s="395"/>
      <c r="B110" s="396"/>
      <c r="C110" s="397"/>
      <c r="D110" s="398"/>
      <c r="E110" s="399"/>
      <c r="F110" s="400"/>
      <c r="G110" s="444"/>
      <c r="H110" s="396"/>
      <c r="I110" s="15"/>
    </row>
    <row r="111" spans="1:9" ht="12.75" customHeight="1">
      <c r="A111" s="395"/>
      <c r="B111" s="396"/>
      <c r="C111" s="397"/>
      <c r="D111" s="398"/>
      <c r="E111" s="399"/>
      <c r="F111" s="400"/>
      <c r="G111" s="444"/>
      <c r="H111" s="396"/>
      <c r="I111" s="15"/>
    </row>
    <row r="112" spans="1:9" ht="12.75" customHeight="1">
      <c r="A112" s="395"/>
      <c r="B112" s="396"/>
      <c r="C112" s="397"/>
      <c r="D112" s="398"/>
      <c r="E112" s="399"/>
      <c r="F112" s="400"/>
      <c r="G112" s="444"/>
      <c r="H112" s="396"/>
      <c r="I112" s="15"/>
    </row>
    <row r="113" spans="1:9" ht="12.75" customHeight="1">
      <c r="A113" s="395"/>
      <c r="B113" s="396"/>
      <c r="C113" s="397"/>
      <c r="D113" s="398"/>
      <c r="E113" s="399"/>
      <c r="F113" s="400"/>
      <c r="G113" s="444"/>
      <c r="H113" s="396"/>
      <c r="I113" s="15"/>
    </row>
    <row r="114" spans="1:9" ht="12.75" customHeight="1">
      <c r="A114" s="395"/>
      <c r="B114" s="396"/>
      <c r="C114" s="397"/>
      <c r="D114" s="398"/>
      <c r="E114" s="399"/>
      <c r="F114" s="400"/>
      <c r="G114" s="444"/>
      <c r="H114" s="396"/>
      <c r="I114" s="15"/>
    </row>
    <row r="115" spans="1:9" ht="12.75" customHeight="1">
      <c r="A115" s="395"/>
      <c r="B115" s="396"/>
      <c r="C115" s="397"/>
      <c r="D115" s="398"/>
      <c r="E115" s="399"/>
      <c r="F115" s="400"/>
      <c r="G115" s="444"/>
      <c r="H115" s="396"/>
      <c r="I115" s="15"/>
    </row>
    <row r="116" spans="1:9" ht="12.75" customHeight="1">
      <c r="A116" s="395"/>
      <c r="B116" s="396"/>
      <c r="C116" s="397"/>
      <c r="D116" s="398"/>
      <c r="E116" s="399"/>
      <c r="F116" s="400"/>
      <c r="G116" s="444"/>
      <c r="H116" s="396"/>
      <c r="I116" s="15"/>
    </row>
    <row r="117" spans="1:9" ht="12.75" customHeight="1">
      <c r="A117" s="395"/>
      <c r="B117" s="396"/>
      <c r="C117" s="397"/>
      <c r="D117" s="398"/>
      <c r="E117" s="399"/>
      <c r="F117" s="400"/>
      <c r="G117" s="444"/>
      <c r="H117" s="396"/>
      <c r="I117" s="15"/>
    </row>
    <row r="118" spans="1:9" ht="12.75" customHeight="1">
      <c r="A118" s="395"/>
      <c r="B118" s="396"/>
      <c r="C118" s="397"/>
      <c r="D118" s="398"/>
      <c r="E118" s="397"/>
      <c r="F118" s="400"/>
      <c r="G118" s="444"/>
      <c r="H118" s="396"/>
      <c r="I118" s="15"/>
    </row>
    <row r="119" spans="1:9" ht="12.75" customHeight="1">
      <c r="A119" s="395"/>
      <c r="B119" s="406"/>
      <c r="C119" s="397"/>
      <c r="D119" s="398"/>
      <c r="E119" s="399"/>
      <c r="F119" s="400"/>
      <c r="G119" s="444"/>
      <c r="H119" s="396"/>
      <c r="I119" s="15"/>
    </row>
    <row r="120" spans="1:9" ht="12.75" customHeight="1">
      <c r="A120" s="395"/>
      <c r="B120" s="406"/>
      <c r="C120" s="407"/>
      <c r="D120" s="408"/>
      <c r="E120" s="409"/>
      <c r="F120" s="394"/>
      <c r="G120" s="444"/>
      <c r="H120" s="396"/>
      <c r="I120" s="15"/>
    </row>
    <row r="121" spans="1:9" ht="12.75" customHeight="1">
      <c r="A121" s="395"/>
      <c r="B121" s="406"/>
      <c r="C121" s="407"/>
      <c r="D121" s="408"/>
      <c r="E121" s="409"/>
      <c r="F121" s="394"/>
      <c r="G121" s="444"/>
      <c r="H121" s="396"/>
      <c r="I121" s="15"/>
    </row>
    <row r="122" spans="1:9" ht="12.75" customHeight="1">
      <c r="A122" s="405"/>
      <c r="B122" s="406"/>
      <c r="C122" s="407"/>
      <c r="D122" s="408"/>
      <c r="E122" s="409"/>
      <c r="F122" s="394"/>
      <c r="G122" s="444"/>
      <c r="H122" s="396"/>
      <c r="I122" s="15"/>
    </row>
    <row r="123" spans="1:9" ht="12.75" customHeight="1">
      <c r="A123" s="405"/>
      <c r="B123" s="406"/>
      <c r="C123" s="407"/>
      <c r="D123" s="408"/>
      <c r="E123" s="409"/>
      <c r="F123" s="394"/>
      <c r="G123" s="444"/>
      <c r="H123" s="396"/>
      <c r="I123" s="15"/>
    </row>
    <row r="124" spans="1:9" ht="12.75" customHeight="1">
      <c r="A124" s="395"/>
      <c r="B124" s="396"/>
      <c r="C124" s="397"/>
      <c r="D124" s="398"/>
      <c r="E124" s="399"/>
      <c r="F124" s="400"/>
      <c r="G124" s="444"/>
      <c r="H124" s="396"/>
      <c r="I124" s="15"/>
    </row>
    <row r="125" spans="1:9" ht="12.75" customHeight="1">
      <c r="A125" s="395"/>
      <c r="B125" s="396"/>
      <c r="C125" s="397"/>
      <c r="D125" s="398"/>
      <c r="E125" s="399"/>
      <c r="F125" s="400"/>
      <c r="G125" s="444"/>
      <c r="H125" s="396"/>
      <c r="I125" s="15"/>
    </row>
    <row r="126" spans="1:9" ht="12.75" customHeight="1">
      <c r="A126" s="395"/>
      <c r="B126" s="406"/>
      <c r="C126" s="397"/>
      <c r="D126" s="398"/>
      <c r="E126" s="409"/>
      <c r="F126" s="394"/>
      <c r="G126" s="444"/>
      <c r="H126" s="396"/>
      <c r="I126" s="15"/>
    </row>
    <row r="127" spans="1:9" ht="12.75" customHeight="1">
      <c r="A127" s="395"/>
      <c r="B127" s="406"/>
      <c r="C127" s="407"/>
      <c r="D127" s="408"/>
      <c r="E127" s="409"/>
      <c r="F127" s="394"/>
      <c r="G127" s="444"/>
      <c r="H127" s="396"/>
      <c r="I127" s="15"/>
    </row>
    <row r="128" spans="1:9" ht="12.75" customHeight="1">
      <c r="A128" s="405"/>
      <c r="B128" s="396"/>
      <c r="C128" s="401"/>
      <c r="D128" s="402"/>
      <c r="E128" s="403"/>
      <c r="F128" s="404"/>
      <c r="G128" s="444"/>
      <c r="H128" s="396"/>
      <c r="I128" s="15"/>
    </row>
    <row r="129" spans="1:9" ht="12.75" customHeight="1">
      <c r="A129" s="405"/>
      <c r="B129" s="406"/>
      <c r="C129" s="407"/>
      <c r="D129" s="408"/>
      <c r="E129" s="409"/>
      <c r="F129" s="394"/>
      <c r="G129" s="444"/>
      <c r="H129" s="396"/>
      <c r="I129" s="15"/>
    </row>
    <row r="130" spans="1:9" ht="12.75" customHeight="1">
      <c r="A130" s="395"/>
      <c r="B130" s="406"/>
      <c r="C130" s="397"/>
      <c r="D130" s="398"/>
      <c r="E130" s="399"/>
      <c r="F130" s="400"/>
      <c r="G130" s="444"/>
      <c r="H130" s="399"/>
      <c r="I130" s="15"/>
    </row>
    <row r="131" spans="1:9" ht="12.75" customHeight="1">
      <c r="A131" s="395"/>
      <c r="B131" s="441"/>
      <c r="C131" s="399"/>
      <c r="D131" s="400"/>
      <c r="E131" s="403"/>
      <c r="F131" s="404"/>
      <c r="G131" s="414"/>
      <c r="H131" s="399"/>
      <c r="I131" s="15"/>
    </row>
    <row r="132" spans="1:9" ht="12.75" customHeight="1">
      <c r="A132" s="395"/>
      <c r="B132" s="441"/>
      <c r="C132" s="409"/>
      <c r="D132" s="394"/>
      <c r="E132" s="409"/>
      <c r="F132" s="394"/>
      <c r="G132" s="414"/>
      <c r="H132" s="399"/>
      <c r="I132" s="15"/>
    </row>
    <row r="133" spans="1:9" ht="12.75" customHeight="1">
      <c r="A133" s="405"/>
      <c r="B133" s="441"/>
      <c r="C133" s="409"/>
      <c r="D133" s="394"/>
      <c r="E133" s="451"/>
      <c r="F133" s="425"/>
      <c r="G133" s="396"/>
      <c r="H133" s="414"/>
      <c r="I133" s="15"/>
    </row>
    <row r="134" spans="1:9" ht="12.75" customHeight="1">
      <c r="A134" s="405"/>
      <c r="B134" s="441"/>
      <c r="C134" s="409"/>
      <c r="D134" s="394"/>
      <c r="E134" s="424"/>
      <c r="F134" s="425"/>
      <c r="G134" s="414"/>
      <c r="H134" s="399"/>
      <c r="I134" s="15"/>
    </row>
    <row r="135" spans="1:9" ht="12.75" customHeight="1">
      <c r="A135" s="454"/>
      <c r="B135" s="481"/>
      <c r="C135" s="482"/>
      <c r="D135" s="483"/>
      <c r="E135" s="484"/>
      <c r="F135" s="485"/>
      <c r="G135" s="445"/>
      <c r="H135" s="442"/>
      <c r="I135" s="15"/>
    </row>
    <row r="136" spans="1:9" ht="12.75" customHeight="1">
      <c r="A136" s="454"/>
      <c r="B136" s="443"/>
      <c r="C136" s="482"/>
      <c r="D136" s="483"/>
      <c r="E136" s="452"/>
      <c r="F136" s="453"/>
      <c r="G136" s="446"/>
      <c r="H136" s="447"/>
      <c r="I136" s="15"/>
    </row>
    <row r="137" spans="1:9" ht="12.75" customHeight="1">
      <c r="A137" s="395"/>
      <c r="B137" s="442"/>
      <c r="C137" s="403"/>
      <c r="D137" s="404"/>
      <c r="E137" s="486"/>
      <c r="F137" s="471"/>
      <c r="G137" s="56"/>
      <c r="H137" s="448"/>
      <c r="I137" s="15"/>
    </row>
    <row r="138" spans="1:9" ht="12.75" customHeight="1">
      <c r="A138" s="434"/>
      <c r="B138" s="455"/>
      <c r="C138" s="456"/>
      <c r="D138" s="457"/>
      <c r="E138" s="455"/>
      <c r="F138" s="487"/>
      <c r="G138" s="457"/>
      <c r="H138" s="458"/>
      <c r="I138" s="15"/>
    </row>
    <row r="139" spans="1:9" ht="12.75" customHeight="1">
      <c r="A139" s="434"/>
      <c r="B139" s="462"/>
      <c r="C139" s="492"/>
      <c r="D139" s="460"/>
      <c r="E139" s="493"/>
      <c r="F139" s="461"/>
      <c r="G139" s="449"/>
      <c r="H139" s="450"/>
      <c r="I139" s="15"/>
    </row>
    <row r="140" spans="1:9" ht="12.75" customHeight="1">
      <c r="A140" s="395"/>
      <c r="B140" s="494"/>
      <c r="C140" s="473"/>
      <c r="D140" s="495"/>
      <c r="E140" s="494"/>
      <c r="F140" s="473"/>
      <c r="G140" s="496"/>
      <c r="H140" s="497"/>
      <c r="I140" s="15"/>
    </row>
    <row r="141" spans="1:9" ht="12.75" customHeight="1">
      <c r="A141" s="395"/>
      <c r="B141" s="488"/>
      <c r="C141" s="489"/>
      <c r="D141" s="490"/>
      <c r="E141" s="419"/>
      <c r="F141" s="415"/>
      <c r="G141" s="444"/>
      <c r="H141" s="491"/>
      <c r="I141" s="15"/>
    </row>
    <row r="142" spans="1:9" ht="12.75" customHeight="1">
      <c r="A142" s="395"/>
      <c r="B142" s="406"/>
      <c r="C142" s="463"/>
      <c r="D142" s="408"/>
      <c r="E142" s="409"/>
      <c r="F142" s="424"/>
      <c r="G142" s="459"/>
      <c r="H142" s="472"/>
      <c r="I142" s="15"/>
    </row>
    <row r="143" spans="1:9" ht="12.75" customHeight="1">
      <c r="A143" s="395"/>
      <c r="B143" s="406"/>
      <c r="C143" s="463"/>
      <c r="D143" s="408"/>
      <c r="E143" s="409"/>
      <c r="F143" s="424"/>
      <c r="G143" s="459"/>
      <c r="H143" s="472"/>
      <c r="I143" s="15"/>
    </row>
    <row r="144" spans="1:9" ht="12.75" customHeight="1">
      <c r="A144" s="395"/>
      <c r="B144" s="396"/>
      <c r="C144" s="397"/>
      <c r="D144" s="398"/>
      <c r="E144" s="399"/>
      <c r="F144" s="400"/>
      <c r="G144" s="382"/>
      <c r="H144" s="380"/>
      <c r="I144" s="15"/>
    </row>
    <row r="145" spans="1:9" ht="12.75" customHeight="1">
      <c r="A145" s="395"/>
      <c r="B145" s="396"/>
      <c r="C145" s="397"/>
      <c r="D145" s="398"/>
      <c r="E145" s="399"/>
      <c r="F145" s="400"/>
      <c r="G145" s="382"/>
      <c r="H145" s="380"/>
      <c r="I145" s="15"/>
    </row>
    <row r="146" spans="1:9" ht="12.75" customHeight="1">
      <c r="A146" s="395"/>
      <c r="B146" s="396"/>
      <c r="C146" s="397"/>
      <c r="D146" s="398"/>
      <c r="E146" s="399"/>
      <c r="F146" s="400"/>
      <c r="G146" s="382"/>
      <c r="H146" s="380"/>
      <c r="I146" s="15"/>
    </row>
    <row r="147" spans="1:9" ht="12.75" customHeight="1">
      <c r="A147" s="395"/>
      <c r="B147" s="396"/>
      <c r="C147" s="397"/>
      <c r="D147" s="398"/>
      <c r="E147" s="399"/>
      <c r="F147" s="400"/>
      <c r="G147" s="382"/>
      <c r="H147" s="380"/>
      <c r="I147" s="15"/>
    </row>
    <row r="148" spans="1:9" ht="12.75" customHeight="1">
      <c r="A148" s="395"/>
      <c r="B148" s="396"/>
      <c r="C148" s="397"/>
      <c r="D148" s="398"/>
      <c r="E148" s="399"/>
      <c r="F148" s="400"/>
      <c r="G148" s="382"/>
      <c r="H148" s="380"/>
      <c r="I148" s="15"/>
    </row>
    <row r="149" spans="1:9" ht="12.75" customHeight="1">
      <c r="A149" s="395"/>
      <c r="B149" s="396"/>
      <c r="C149" s="397"/>
      <c r="D149" s="398"/>
      <c r="E149" s="399"/>
      <c r="F149" s="400"/>
      <c r="G149" s="382"/>
      <c r="H149" s="380"/>
      <c r="I149" s="15"/>
    </row>
    <row r="150" spans="1:9" ht="12.75" customHeight="1">
      <c r="A150" s="395"/>
      <c r="B150" s="396"/>
      <c r="C150" s="397"/>
      <c r="D150" s="398"/>
      <c r="E150" s="399"/>
      <c r="F150" s="400"/>
      <c r="G150" s="382"/>
      <c r="H150" s="380"/>
      <c r="I150" s="15"/>
    </row>
    <row r="151" spans="1:9" ht="12.75" customHeight="1">
      <c r="A151" s="395"/>
      <c r="B151" s="396"/>
      <c r="C151" s="397"/>
      <c r="D151" s="398"/>
      <c r="E151" s="399"/>
      <c r="F151" s="400"/>
      <c r="G151" s="382"/>
      <c r="H151" s="380"/>
      <c r="I151" s="15"/>
    </row>
    <row r="152" spans="1:9" ht="12.75" customHeight="1">
      <c r="A152" s="395"/>
      <c r="B152" s="396"/>
      <c r="C152" s="397"/>
      <c r="D152" s="398"/>
      <c r="E152" s="399"/>
      <c r="F152" s="400"/>
      <c r="G152" s="382"/>
      <c r="H152" s="380"/>
      <c r="I152" s="15"/>
    </row>
    <row r="153" spans="1:9" ht="12.75" customHeight="1">
      <c r="A153" s="395"/>
      <c r="B153" s="396"/>
      <c r="C153" s="397"/>
      <c r="D153" s="398"/>
      <c r="E153" s="399"/>
      <c r="F153" s="400"/>
      <c r="G153" s="382"/>
      <c r="H153" s="380"/>
      <c r="I153" s="15"/>
    </row>
    <row r="154" spans="1:9" ht="12.75" customHeight="1">
      <c r="A154" s="395"/>
      <c r="B154" s="396"/>
      <c r="C154" s="397"/>
      <c r="D154" s="398"/>
      <c r="E154" s="399"/>
      <c r="F154" s="400"/>
      <c r="G154" s="382"/>
      <c r="H154" s="380"/>
      <c r="I154" s="15"/>
    </row>
    <row r="155" spans="1:9" ht="12.75" customHeight="1">
      <c r="A155" s="395"/>
      <c r="B155" s="396"/>
      <c r="C155" s="397"/>
      <c r="D155" s="398"/>
      <c r="E155" s="399"/>
      <c r="F155" s="400"/>
      <c r="G155" s="382"/>
      <c r="H155" s="380"/>
      <c r="I155" s="15"/>
    </row>
    <row r="156" spans="1:9" ht="12.75" customHeight="1">
      <c r="A156" s="395"/>
      <c r="B156" s="396"/>
      <c r="C156" s="397"/>
      <c r="D156" s="398"/>
      <c r="E156" s="399"/>
      <c r="F156" s="400"/>
      <c r="G156" s="382"/>
      <c r="H156" s="380"/>
      <c r="I156" s="15"/>
    </row>
    <row r="157" spans="1:9" ht="12.75" customHeight="1">
      <c r="A157" s="395"/>
      <c r="B157" s="396"/>
      <c r="C157" s="397"/>
      <c r="D157" s="398"/>
      <c r="E157" s="399"/>
      <c r="F157" s="400"/>
      <c r="G157" s="382"/>
      <c r="H157" s="380"/>
      <c r="I157" s="15"/>
    </row>
    <row r="158" spans="1:9" ht="12.75" customHeight="1">
      <c r="A158" s="395"/>
      <c r="B158" s="396"/>
      <c r="C158" s="397"/>
      <c r="D158" s="398"/>
      <c r="E158" s="399"/>
      <c r="F158" s="400"/>
      <c r="G158" s="382"/>
      <c r="H158" s="380"/>
      <c r="I158" s="15"/>
    </row>
    <row r="159" spans="1:9" ht="12.75" customHeight="1">
      <c r="A159" s="395"/>
      <c r="B159" s="396"/>
      <c r="C159" s="397"/>
      <c r="D159" s="398"/>
      <c r="E159" s="399"/>
      <c r="F159" s="400"/>
      <c r="G159" s="382"/>
      <c r="H159" s="380"/>
      <c r="I159" s="15"/>
    </row>
    <row r="160" spans="1:9" ht="12.75" customHeight="1">
      <c r="A160" s="395"/>
      <c r="B160" s="396"/>
      <c r="C160" s="397"/>
      <c r="D160" s="398"/>
      <c r="E160" s="399"/>
      <c r="F160" s="400"/>
      <c r="G160" s="382"/>
      <c r="H160" s="380"/>
      <c r="I160" s="15"/>
    </row>
    <row r="161" spans="1:9" ht="12.75" customHeight="1">
      <c r="A161" s="395"/>
      <c r="B161" s="396"/>
      <c r="C161" s="397"/>
      <c r="D161" s="398"/>
      <c r="E161" s="399"/>
      <c r="F161" s="400"/>
      <c r="G161" s="382"/>
      <c r="H161" s="380"/>
      <c r="I161" s="15"/>
    </row>
    <row r="162" spans="1:9" ht="12.75" customHeight="1">
      <c r="A162" s="395"/>
      <c r="B162" s="396"/>
      <c r="C162" s="397"/>
      <c r="D162" s="398"/>
      <c r="E162" s="399"/>
      <c r="F162" s="400"/>
      <c r="G162" s="382"/>
      <c r="H162" s="380"/>
      <c r="I162" s="15"/>
    </row>
    <row r="163" spans="1:9" ht="12.75" customHeight="1">
      <c r="A163" s="395"/>
      <c r="B163" s="396"/>
      <c r="C163" s="397"/>
      <c r="D163" s="398"/>
      <c r="E163" s="399"/>
      <c r="F163" s="400"/>
      <c r="G163" s="382"/>
      <c r="H163" s="380"/>
      <c r="I163" s="15"/>
    </row>
    <row r="164" spans="1:9" ht="12.75" customHeight="1">
      <c r="A164" s="395"/>
      <c r="B164" s="396"/>
      <c r="C164" s="397"/>
      <c r="D164" s="398"/>
      <c r="E164" s="399"/>
      <c r="F164" s="400"/>
      <c r="G164" s="382"/>
      <c r="H164" s="380"/>
      <c r="I164" s="15"/>
    </row>
    <row r="165" spans="1:9" ht="12.75" customHeight="1">
      <c r="A165" s="395"/>
      <c r="B165" s="396"/>
      <c r="C165" s="397"/>
      <c r="D165" s="398"/>
      <c r="E165" s="399"/>
      <c r="F165" s="400"/>
      <c r="G165" s="382"/>
      <c r="H165" s="380"/>
      <c r="I165" s="15"/>
    </row>
    <row r="166" spans="1:9" ht="12.75" customHeight="1">
      <c r="A166" s="395"/>
      <c r="B166" s="396"/>
      <c r="C166" s="397"/>
      <c r="D166" s="398"/>
      <c r="E166" s="399"/>
      <c r="F166" s="400"/>
      <c r="G166" s="382"/>
      <c r="H166" s="380"/>
      <c r="I166" s="15"/>
    </row>
    <row r="167" spans="1:9" ht="12.75" customHeight="1">
      <c r="A167" s="395"/>
      <c r="B167" s="396"/>
      <c r="C167" s="397"/>
      <c r="D167" s="398"/>
      <c r="E167" s="399"/>
      <c r="F167" s="400"/>
      <c r="G167" s="382"/>
      <c r="H167" s="380"/>
      <c r="I167" s="15"/>
    </row>
    <row r="168" spans="1:9" ht="12.75" customHeight="1">
      <c r="A168" s="395"/>
      <c r="B168" s="396"/>
      <c r="C168" s="397"/>
      <c r="D168" s="398"/>
      <c r="E168" s="399"/>
      <c r="F168" s="400"/>
      <c r="G168" s="382"/>
      <c r="H168" s="380"/>
      <c r="I168" s="15"/>
    </row>
    <row r="169" spans="1:9" ht="12.75" customHeight="1">
      <c r="A169" s="395"/>
      <c r="B169" s="396"/>
      <c r="C169" s="397"/>
      <c r="D169" s="398"/>
      <c r="E169" s="399"/>
      <c r="F169" s="400"/>
      <c r="G169" s="382"/>
      <c r="H169" s="380"/>
      <c r="I169" s="15"/>
    </row>
    <row r="170" spans="1:9" ht="12.75" customHeight="1">
      <c r="A170" s="395"/>
      <c r="B170" s="396"/>
      <c r="C170" s="397"/>
      <c r="D170" s="398"/>
      <c r="E170" s="399"/>
      <c r="F170" s="400"/>
      <c r="G170" s="382"/>
      <c r="H170" s="380"/>
      <c r="I170" s="15"/>
    </row>
    <row r="171" spans="1:9" ht="12.75" customHeight="1">
      <c r="A171" s="395"/>
      <c r="B171" s="396"/>
      <c r="C171" s="397"/>
      <c r="D171" s="398"/>
      <c r="E171" s="399"/>
      <c r="F171" s="400"/>
      <c r="G171" s="382"/>
      <c r="H171" s="380"/>
      <c r="I171" s="15"/>
    </row>
    <row r="172" spans="1:9" ht="12.75" customHeight="1">
      <c r="A172" s="395"/>
      <c r="B172" s="396"/>
      <c r="C172" s="397"/>
      <c r="D172" s="398"/>
      <c r="E172" s="399"/>
      <c r="F172" s="400"/>
      <c r="G172" s="382"/>
      <c r="H172" s="380"/>
      <c r="I172" s="15"/>
    </row>
    <row r="173" spans="1:9" ht="12.75" customHeight="1">
      <c r="A173" s="395"/>
      <c r="B173" s="396"/>
      <c r="C173" s="397"/>
      <c r="D173" s="398"/>
      <c r="E173" s="399"/>
      <c r="F173" s="400"/>
      <c r="G173" s="382"/>
      <c r="H173" s="380"/>
      <c r="I173" s="15"/>
    </row>
    <row r="174" spans="1:9" ht="12.75" customHeight="1">
      <c r="A174" s="395"/>
      <c r="B174" s="396"/>
      <c r="C174" s="397"/>
      <c r="D174" s="398"/>
      <c r="E174" s="399"/>
      <c r="F174" s="400"/>
      <c r="G174" s="382"/>
      <c r="H174" s="380"/>
      <c r="I174" s="15"/>
    </row>
    <row r="175" spans="1:9" ht="12.75" customHeight="1">
      <c r="A175" s="395"/>
      <c r="B175" s="396"/>
      <c r="C175" s="397"/>
      <c r="D175" s="398"/>
      <c r="E175" s="399"/>
      <c r="F175" s="400"/>
      <c r="G175" s="382"/>
      <c r="H175" s="380"/>
      <c r="I175" s="15"/>
    </row>
    <row r="176" spans="1:9" ht="12.75" customHeight="1">
      <c r="A176" s="395"/>
      <c r="B176" s="396"/>
      <c r="C176" s="397"/>
      <c r="D176" s="398"/>
      <c r="E176" s="399"/>
      <c r="F176" s="400"/>
      <c r="G176" s="382"/>
      <c r="H176" s="380"/>
      <c r="I176" s="15"/>
    </row>
    <row r="177" spans="1:9" ht="12.75" customHeight="1">
      <c r="A177" s="395"/>
      <c r="B177" s="396"/>
      <c r="C177" s="397"/>
      <c r="D177" s="398"/>
      <c r="E177" s="399"/>
      <c r="F177" s="400"/>
      <c r="G177" s="382"/>
      <c r="H177" s="380"/>
      <c r="I177" s="15"/>
    </row>
    <row r="178" spans="1:9" ht="12.75" customHeight="1">
      <c r="A178" s="395"/>
      <c r="B178" s="396"/>
      <c r="C178" s="397"/>
      <c r="D178" s="398"/>
      <c r="E178" s="399"/>
      <c r="F178" s="400"/>
      <c r="G178" s="382"/>
      <c r="H178" s="380"/>
      <c r="I178" s="15"/>
    </row>
    <row r="179" spans="1:9" ht="12.75" customHeight="1">
      <c r="A179" s="395"/>
      <c r="B179" s="396"/>
      <c r="C179" s="397"/>
      <c r="D179" s="398"/>
      <c r="E179" s="399"/>
      <c r="F179" s="400"/>
      <c r="G179" s="382"/>
      <c r="H179" s="380"/>
      <c r="I179" s="15"/>
    </row>
    <row r="180" spans="1:9" ht="12.75" customHeight="1">
      <c r="A180" s="395"/>
      <c r="B180" s="396"/>
      <c r="C180" s="401"/>
      <c r="D180" s="402"/>
      <c r="E180" s="403"/>
      <c r="F180" s="404"/>
      <c r="G180" s="382"/>
      <c r="H180" s="380"/>
      <c r="I180" s="15"/>
    </row>
    <row r="181" spans="1:9" ht="12.75" customHeight="1">
      <c r="A181" s="395"/>
      <c r="B181" s="396"/>
      <c r="C181" s="401"/>
      <c r="D181" s="402"/>
      <c r="E181" s="401"/>
      <c r="F181" s="404"/>
      <c r="G181" s="382"/>
      <c r="H181" s="380"/>
      <c r="I181" s="15"/>
    </row>
    <row r="182" spans="1:9" ht="12.75" customHeight="1">
      <c r="A182" s="405"/>
      <c r="B182" s="406"/>
      <c r="C182" s="407"/>
      <c r="D182" s="408"/>
      <c r="E182" s="409"/>
      <c r="F182" s="394"/>
      <c r="G182" s="382"/>
      <c r="H182" s="380"/>
      <c r="I182" s="15"/>
    </row>
    <row r="183" spans="1:9" ht="12.75" customHeight="1">
      <c r="A183" s="395"/>
      <c r="B183" s="396"/>
      <c r="C183" s="397"/>
      <c r="D183" s="398"/>
      <c r="E183" s="399"/>
      <c r="F183" s="400"/>
      <c r="G183" s="382"/>
      <c r="H183" s="380"/>
      <c r="I183" s="15"/>
    </row>
    <row r="184" spans="1:9" ht="12.75" customHeight="1">
      <c r="A184" s="395"/>
      <c r="B184" s="396"/>
      <c r="C184" s="397"/>
      <c r="D184" s="398"/>
      <c r="E184" s="399"/>
      <c r="F184" s="400"/>
      <c r="G184" s="382"/>
      <c r="H184" s="380"/>
      <c r="I184" s="15"/>
    </row>
    <row r="185" spans="1:9" ht="12.75" customHeight="1">
      <c r="A185" s="395"/>
      <c r="B185" s="396"/>
      <c r="C185" s="397"/>
      <c r="D185" s="398"/>
      <c r="E185" s="403"/>
      <c r="F185" s="404"/>
      <c r="G185" s="382"/>
      <c r="H185" s="380"/>
      <c r="I185" s="15"/>
    </row>
    <row r="186" spans="1:9" ht="12.75" customHeight="1">
      <c r="A186" s="395"/>
      <c r="B186" s="396"/>
      <c r="C186" s="401"/>
      <c r="D186" s="402"/>
      <c r="E186" s="403"/>
      <c r="F186" s="404"/>
      <c r="G186" s="382"/>
      <c r="H186" s="380"/>
      <c r="I186" s="15"/>
    </row>
    <row r="187" spans="1:9" ht="12.75" customHeight="1">
      <c r="A187" s="395"/>
      <c r="B187" s="396"/>
      <c r="C187" s="401"/>
      <c r="D187" s="402"/>
      <c r="E187" s="403"/>
      <c r="F187" s="404"/>
      <c r="G187" s="382"/>
      <c r="H187" s="380"/>
      <c r="I187" s="15"/>
    </row>
    <row r="188" spans="1:9" ht="12.75" customHeight="1">
      <c r="A188" s="395"/>
      <c r="B188" s="396"/>
      <c r="C188" s="407"/>
      <c r="D188" s="408"/>
      <c r="E188" s="409"/>
      <c r="F188" s="394"/>
      <c r="G188" s="382"/>
      <c r="H188" s="380"/>
      <c r="I188" s="15"/>
    </row>
    <row r="189" spans="1:9" ht="12.75" customHeight="1">
      <c r="A189" s="395"/>
      <c r="B189" s="396"/>
      <c r="C189" s="397"/>
      <c r="D189" s="398"/>
      <c r="E189" s="399"/>
      <c r="F189" s="400"/>
      <c r="G189" s="382"/>
      <c r="H189" s="380"/>
      <c r="I189" s="15"/>
    </row>
    <row r="190" spans="1:9" ht="12.75" customHeight="1">
      <c r="A190" s="395"/>
      <c r="B190" s="396"/>
      <c r="C190" s="397"/>
      <c r="D190" s="398"/>
      <c r="E190" s="403"/>
      <c r="F190" s="404"/>
      <c r="G190" s="382"/>
      <c r="H190" s="380"/>
      <c r="I190" s="15"/>
    </row>
    <row r="191" spans="1:9" ht="12.75" customHeight="1">
      <c r="A191" s="395"/>
      <c r="B191" s="396"/>
      <c r="C191" s="401"/>
      <c r="D191" s="402"/>
      <c r="E191" s="403"/>
      <c r="F191" s="404"/>
      <c r="G191" s="382"/>
      <c r="H191" s="380"/>
      <c r="I191" s="15"/>
    </row>
    <row r="192" spans="1:9" ht="12.75" customHeight="1">
      <c r="A192" s="395"/>
      <c r="B192" s="396"/>
      <c r="C192" s="401"/>
      <c r="D192" s="402"/>
      <c r="E192" s="410"/>
      <c r="F192" s="411"/>
      <c r="G192" s="382"/>
      <c r="H192" s="380"/>
      <c r="I192" s="15"/>
    </row>
    <row r="193" spans="1:9" ht="12.75" customHeight="1">
      <c r="A193" s="405"/>
      <c r="B193" s="406"/>
      <c r="C193" s="407"/>
      <c r="D193" s="408"/>
      <c r="E193" s="409"/>
      <c r="F193" s="394"/>
      <c r="G193" s="412"/>
      <c r="H193" s="413"/>
      <c r="I193" s="15"/>
    </row>
    <row r="194" spans="1:9" ht="12.75" customHeight="1">
      <c r="A194" s="395"/>
      <c r="B194" s="414"/>
      <c r="C194" s="399"/>
      <c r="D194" s="400"/>
      <c r="E194" s="415"/>
      <c r="F194" s="416"/>
      <c r="G194" s="417"/>
      <c r="H194" s="413"/>
      <c r="I194" s="15"/>
    </row>
    <row r="195" spans="1:9" ht="12.75" customHeight="1">
      <c r="A195" s="395"/>
      <c r="B195" s="414"/>
      <c r="C195" s="399"/>
      <c r="D195" s="400"/>
      <c r="E195" s="410"/>
      <c r="F195" s="411"/>
      <c r="G195" s="417"/>
      <c r="H195" s="413"/>
      <c r="I195" s="15"/>
    </row>
    <row r="196" spans="1:9" ht="12.75" customHeight="1">
      <c r="A196" s="395"/>
      <c r="B196" s="414"/>
      <c r="C196" s="403"/>
      <c r="D196" s="404"/>
      <c r="E196" s="418"/>
      <c r="F196" s="404"/>
      <c r="G196" s="41"/>
      <c r="H196" s="414"/>
      <c r="I196" s="15"/>
    </row>
    <row r="197" spans="1:9" ht="12.75" customHeight="1">
      <c r="A197" s="395"/>
      <c r="B197" s="414"/>
      <c r="C197" s="403"/>
      <c r="D197" s="404"/>
      <c r="E197" s="410"/>
      <c r="F197" s="404"/>
      <c r="G197" s="417"/>
      <c r="H197" s="413"/>
      <c r="I197" s="15"/>
    </row>
    <row r="198" spans="1:9" ht="12.75" customHeight="1">
      <c r="A198" s="395"/>
      <c r="B198" s="419"/>
      <c r="C198" s="410"/>
      <c r="D198" s="416"/>
      <c r="E198" s="420"/>
      <c r="F198" s="415"/>
      <c r="G198" s="421"/>
      <c r="H198" s="422"/>
      <c r="I198" s="15"/>
    </row>
    <row r="199" spans="1:9" ht="12.75" customHeight="1">
      <c r="A199" s="405"/>
      <c r="B199" s="423"/>
      <c r="C199" s="424"/>
      <c r="D199" s="425"/>
      <c r="E199" s="423"/>
      <c r="F199" s="424"/>
      <c r="G199" s="426"/>
      <c r="H199" s="427"/>
      <c r="I199" s="15"/>
    </row>
    <row r="200" spans="1:9" ht="12.75" customHeight="1">
      <c r="A200" s="389"/>
      <c r="B200" s="428"/>
      <c r="C200" s="429"/>
      <c r="D200" s="416"/>
      <c r="E200" s="430"/>
      <c r="F200" s="431"/>
      <c r="G200" s="432"/>
      <c r="H200" s="433"/>
      <c r="I200" s="434"/>
    </row>
    <row r="201" spans="1:9" ht="12.75" customHeight="1">
      <c r="A201" s="435"/>
      <c r="B201" s="436"/>
      <c r="C201" s="437"/>
      <c r="D201" s="438"/>
      <c r="E201" s="437"/>
      <c r="F201" s="438"/>
      <c r="G201" s="438"/>
      <c r="H201" s="439"/>
      <c r="I201" s="440"/>
    </row>
    <row r="202" spans="1:9" ht="12.75" customHeight="1">
      <c r="A202" s="435"/>
      <c r="B202" s="436"/>
      <c r="C202" s="437"/>
      <c r="D202" s="438"/>
      <c r="E202" s="437"/>
      <c r="F202" s="438"/>
      <c r="G202" s="438"/>
      <c r="H202" s="439"/>
      <c r="I202" s="440"/>
    </row>
    <row r="203" ht="12.75" customHeight="1">
      <c r="I203" s="377"/>
    </row>
    <row r="204" ht="12.75" customHeight="1">
      <c r="I204" s="377"/>
    </row>
  </sheetData>
  <sheetProtection/>
  <mergeCells count="1">
    <mergeCell ref="C7:D7"/>
  </mergeCells>
  <printOptions/>
  <pageMargins left="0.67" right="0.2" top="0.25" bottom="0.25" header="0.34" footer="0.3"/>
  <pageSetup horizontalDpi="600" verticalDpi="600" orientation="portrait" paperSize="9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6.8515625" style="378" customWidth="1"/>
    <col min="2" max="2" width="7.140625" style="31" customWidth="1"/>
    <col min="3" max="3" width="9.140625" style="360" customWidth="1"/>
    <col min="4" max="4" width="6.28125" style="31" customWidth="1"/>
    <col min="5" max="5" width="9.00390625" style="244" customWidth="1"/>
    <col min="6" max="6" width="7.140625" style="31" customWidth="1"/>
    <col min="7" max="7" width="10.140625" style="360" customWidth="1"/>
    <col min="8" max="8" width="12.28125" style="360" customWidth="1"/>
    <col min="9" max="9" width="8.7109375" style="48" customWidth="1"/>
    <col min="10" max="14" width="8.8515625" style="378" customWidth="1"/>
    <col min="15" max="15" width="12.7109375" style="378" bestFit="1" customWidth="1"/>
    <col min="16" max="16384" width="8.8515625" style="378" customWidth="1"/>
  </cols>
  <sheetData>
    <row r="1" spans="1:10" ht="15" customHeight="1">
      <c r="A1" s="514" t="s">
        <v>1229</v>
      </c>
      <c r="B1" s="515"/>
      <c r="C1" s="516"/>
      <c r="D1" s="515"/>
      <c r="E1" s="517"/>
      <c r="F1" s="515"/>
      <c r="G1" s="516"/>
      <c r="H1" s="516"/>
      <c r="I1" s="518"/>
      <c r="J1" s="262"/>
    </row>
    <row r="2" spans="1:10" ht="15" customHeight="1">
      <c r="A2" s="514" t="s">
        <v>1230</v>
      </c>
      <c r="B2" s="515"/>
      <c r="C2" s="516"/>
      <c r="D2" s="515"/>
      <c r="E2" s="517"/>
      <c r="F2" s="515"/>
      <c r="G2" s="516"/>
      <c r="H2" s="516"/>
      <c r="I2" s="518"/>
      <c r="J2" s="262"/>
    </row>
    <row r="3" spans="1:10" ht="15" customHeight="1">
      <c r="A3" s="514" t="s">
        <v>110</v>
      </c>
      <c r="B3" s="515"/>
      <c r="C3" s="516"/>
      <c r="D3" s="515"/>
      <c r="E3" s="517"/>
      <c r="F3" s="515"/>
      <c r="G3" s="516"/>
      <c r="H3" s="516"/>
      <c r="I3" s="518"/>
      <c r="J3" s="262"/>
    </row>
    <row r="4" spans="1:10" ht="15" customHeight="1">
      <c r="A4" s="514" t="s">
        <v>5</v>
      </c>
      <c r="B4" s="515"/>
      <c r="C4" s="516"/>
      <c r="D4" s="515"/>
      <c r="E4" s="517"/>
      <c r="F4" s="515"/>
      <c r="G4" s="516"/>
      <c r="H4" s="516"/>
      <c r="I4" s="518"/>
      <c r="J4" s="262"/>
    </row>
    <row r="5" spans="1:10" ht="15" customHeight="1">
      <c r="A5" s="514" t="s">
        <v>6</v>
      </c>
      <c r="B5" s="515"/>
      <c r="C5" s="516"/>
      <c r="D5" s="515"/>
      <c r="E5" s="519"/>
      <c r="F5" s="515"/>
      <c r="G5" s="516"/>
      <c r="H5" s="516"/>
      <c r="I5" s="518"/>
      <c r="J5" s="262"/>
    </row>
    <row r="6" spans="1:10" ht="15" customHeight="1">
      <c r="A6" s="514" t="s">
        <v>111</v>
      </c>
      <c r="B6" s="515"/>
      <c r="C6" s="516"/>
      <c r="D6" s="515"/>
      <c r="E6" s="517"/>
      <c r="F6" s="515"/>
      <c r="G6" s="516"/>
      <c r="H6" s="516"/>
      <c r="I6" s="518"/>
      <c r="J6" s="262"/>
    </row>
    <row r="7" spans="1:10" ht="15" customHeight="1">
      <c r="A7" s="514" t="s">
        <v>112</v>
      </c>
      <c r="B7" s="515"/>
      <c r="C7" s="516"/>
      <c r="D7" s="515"/>
      <c r="E7" s="520" t="s">
        <v>113</v>
      </c>
      <c r="F7" s="515"/>
      <c r="G7" s="516"/>
      <c r="H7" s="516"/>
      <c r="I7" s="518"/>
      <c r="J7" s="262"/>
    </row>
    <row r="8" spans="1:10" ht="15" customHeight="1">
      <c r="A8" s="521" t="s">
        <v>1231</v>
      </c>
      <c r="B8" s="522"/>
      <c r="C8" s="523"/>
      <c r="D8" s="522"/>
      <c r="E8" s="524"/>
      <c r="F8" s="522"/>
      <c r="G8" s="523"/>
      <c r="H8" s="523"/>
      <c r="I8" s="525"/>
      <c r="J8" s="262"/>
    </row>
    <row r="9" spans="1:10" ht="15" customHeight="1">
      <c r="A9" s="526"/>
      <c r="B9" s="527" t="s">
        <v>45</v>
      </c>
      <c r="C9" s="528"/>
      <c r="D9" s="527" t="s">
        <v>46</v>
      </c>
      <c r="E9" s="528"/>
      <c r="F9" s="527"/>
      <c r="G9" s="529" t="s">
        <v>47</v>
      </c>
      <c r="H9" s="528"/>
      <c r="I9" s="530"/>
      <c r="J9" s="262"/>
    </row>
    <row r="10" spans="1:10" ht="15" customHeight="1">
      <c r="A10" s="531" t="s">
        <v>461</v>
      </c>
      <c r="B10" s="532" t="s">
        <v>49</v>
      </c>
      <c r="C10" s="533" t="s">
        <v>50</v>
      </c>
      <c r="D10" s="532" t="s">
        <v>49</v>
      </c>
      <c r="E10" s="533" t="s">
        <v>50</v>
      </c>
      <c r="F10" s="532" t="s">
        <v>49</v>
      </c>
      <c r="G10" s="533" t="s">
        <v>50</v>
      </c>
      <c r="H10" s="533" t="s">
        <v>51</v>
      </c>
      <c r="I10" s="534" t="s">
        <v>52</v>
      </c>
      <c r="J10" s="262"/>
    </row>
    <row r="11" spans="1:10" ht="15" customHeight="1">
      <c r="A11" s="535" t="s">
        <v>466</v>
      </c>
      <c r="B11" s="536"/>
      <c r="C11" s="529">
        <v>0</v>
      </c>
      <c r="D11" s="537"/>
      <c r="E11" s="538"/>
      <c r="F11" s="537"/>
      <c r="G11" s="529"/>
      <c r="H11" s="529"/>
      <c r="I11" s="539"/>
      <c r="J11" s="262"/>
    </row>
    <row r="12" spans="1:10" ht="15" customHeight="1">
      <c r="A12" s="526" t="s">
        <v>14</v>
      </c>
      <c r="B12" s="540">
        <f aca="true" t="shared" si="0" ref="B12:H12">SUM(B11)</f>
        <v>0</v>
      </c>
      <c r="C12" s="529">
        <f t="shared" si="0"/>
        <v>0</v>
      </c>
      <c r="D12" s="527">
        <f t="shared" si="0"/>
        <v>0</v>
      </c>
      <c r="E12" s="529">
        <f t="shared" si="0"/>
        <v>0</v>
      </c>
      <c r="F12" s="527">
        <f t="shared" si="0"/>
        <v>0</v>
      </c>
      <c r="G12" s="529">
        <f t="shared" si="0"/>
        <v>0</v>
      </c>
      <c r="H12" s="529">
        <f t="shared" si="0"/>
        <v>0</v>
      </c>
      <c r="I12" s="540" t="e">
        <f>H12/G12</f>
        <v>#DIV/0!</v>
      </c>
      <c r="J12" s="262"/>
    </row>
    <row r="13" spans="1:10" ht="15" customHeight="1">
      <c r="A13" s="531" t="s">
        <v>462</v>
      </c>
      <c r="B13" s="532" t="s">
        <v>49</v>
      </c>
      <c r="C13" s="533" t="s">
        <v>50</v>
      </c>
      <c r="D13" s="532" t="s">
        <v>49</v>
      </c>
      <c r="E13" s="533" t="s">
        <v>50</v>
      </c>
      <c r="F13" s="532" t="s">
        <v>49</v>
      </c>
      <c r="G13" s="533" t="s">
        <v>50</v>
      </c>
      <c r="H13" s="533" t="s">
        <v>51</v>
      </c>
      <c r="I13" s="534" t="s">
        <v>52</v>
      </c>
      <c r="J13" s="262"/>
    </row>
    <row r="14" spans="1:10" ht="15" customHeight="1">
      <c r="A14" s="535" t="s">
        <v>53</v>
      </c>
      <c r="B14" s="541">
        <v>150</v>
      </c>
      <c r="C14" s="542">
        <v>7480.5</v>
      </c>
      <c r="D14" s="541">
        <v>10</v>
      </c>
      <c r="E14" s="538">
        <v>499.2</v>
      </c>
      <c r="F14" s="541">
        <v>160</v>
      </c>
      <c r="G14" s="538">
        <v>7979.7</v>
      </c>
      <c r="H14" s="540" t="s">
        <v>1232</v>
      </c>
      <c r="I14" s="540">
        <v>189.77</v>
      </c>
      <c r="J14" s="262"/>
    </row>
    <row r="15" spans="1:10" ht="15" customHeight="1">
      <c r="A15" s="535" t="s">
        <v>469</v>
      </c>
      <c r="B15" s="526"/>
      <c r="C15" s="542">
        <v>0</v>
      </c>
      <c r="D15" s="541">
        <v>40</v>
      </c>
      <c r="E15" s="538">
        <v>1996</v>
      </c>
      <c r="F15" s="541">
        <v>40</v>
      </c>
      <c r="G15" s="538">
        <v>1996</v>
      </c>
      <c r="H15" s="540" t="s">
        <v>1233</v>
      </c>
      <c r="I15" s="540">
        <v>200.52</v>
      </c>
      <c r="J15" s="262"/>
    </row>
    <row r="16" spans="1:10" ht="15" customHeight="1">
      <c r="A16" s="535" t="s">
        <v>171</v>
      </c>
      <c r="B16" s="541">
        <v>10</v>
      </c>
      <c r="C16" s="542">
        <v>498.5</v>
      </c>
      <c r="D16" s="541">
        <v>0</v>
      </c>
      <c r="E16" s="538">
        <v>0</v>
      </c>
      <c r="F16" s="541">
        <v>10</v>
      </c>
      <c r="G16" s="538">
        <v>498.5</v>
      </c>
      <c r="H16" s="540">
        <v>82751</v>
      </c>
      <c r="I16" s="540">
        <v>166</v>
      </c>
      <c r="J16" s="262"/>
    </row>
    <row r="17" spans="1:10" ht="15" customHeight="1">
      <c r="A17" s="535" t="s">
        <v>640</v>
      </c>
      <c r="B17" s="526"/>
      <c r="C17" s="542">
        <v>0</v>
      </c>
      <c r="D17" s="541">
        <v>15</v>
      </c>
      <c r="E17" s="538">
        <v>747.6</v>
      </c>
      <c r="F17" s="541">
        <v>15</v>
      </c>
      <c r="G17" s="538">
        <v>747.6</v>
      </c>
      <c r="H17" s="540" t="s">
        <v>1234</v>
      </c>
      <c r="I17" s="540">
        <v>222.67</v>
      </c>
      <c r="J17" s="262"/>
    </row>
    <row r="18" spans="1:10" ht="15" customHeight="1">
      <c r="A18" s="535" t="s">
        <v>57</v>
      </c>
      <c r="B18" s="541">
        <v>25</v>
      </c>
      <c r="C18" s="542">
        <v>1250</v>
      </c>
      <c r="D18" s="541">
        <v>0</v>
      </c>
      <c r="E18" s="538">
        <v>0</v>
      </c>
      <c r="F18" s="541">
        <v>25</v>
      </c>
      <c r="G18" s="538">
        <v>1250</v>
      </c>
      <c r="H18" s="540" t="s">
        <v>1235</v>
      </c>
      <c r="I18" s="540">
        <v>169</v>
      </c>
      <c r="J18" s="262"/>
    </row>
    <row r="19" spans="1:10" ht="15" customHeight="1">
      <c r="A19" s="535" t="s">
        <v>130</v>
      </c>
      <c r="B19" s="541">
        <v>20</v>
      </c>
      <c r="C19" s="542">
        <v>997</v>
      </c>
      <c r="D19" s="541">
        <v>0</v>
      </c>
      <c r="E19" s="538">
        <v>0</v>
      </c>
      <c r="F19" s="541">
        <v>20</v>
      </c>
      <c r="G19" s="538">
        <v>997</v>
      </c>
      <c r="H19" s="540">
        <v>96709</v>
      </c>
      <c r="I19" s="540">
        <v>97</v>
      </c>
      <c r="J19" s="262"/>
    </row>
    <row r="20" spans="1:10" ht="15" customHeight="1">
      <c r="A20" s="535" t="s">
        <v>475</v>
      </c>
      <c r="B20" s="541">
        <v>60</v>
      </c>
      <c r="C20" s="542">
        <v>2994</v>
      </c>
      <c r="D20" s="541">
        <v>0</v>
      </c>
      <c r="E20" s="538">
        <v>0</v>
      </c>
      <c r="F20" s="541">
        <v>60</v>
      </c>
      <c r="G20" s="538">
        <v>2994</v>
      </c>
      <c r="H20" s="540" t="s">
        <v>1236</v>
      </c>
      <c r="I20" s="540">
        <v>194.67</v>
      </c>
      <c r="J20" s="262"/>
    </row>
    <row r="21" spans="1:10" ht="15" customHeight="1">
      <c r="A21" s="535" t="s">
        <v>329</v>
      </c>
      <c r="B21" s="541">
        <v>12</v>
      </c>
      <c r="C21" s="542">
        <v>600</v>
      </c>
      <c r="D21" s="541">
        <v>0</v>
      </c>
      <c r="E21" s="538">
        <v>0</v>
      </c>
      <c r="F21" s="541">
        <v>12</v>
      </c>
      <c r="G21" s="538">
        <v>600</v>
      </c>
      <c r="H21" s="540" t="s">
        <v>1237</v>
      </c>
      <c r="I21" s="540">
        <v>249</v>
      </c>
      <c r="J21" s="262"/>
    </row>
    <row r="22" spans="1:10" ht="15" customHeight="1">
      <c r="A22" s="535" t="s">
        <v>67</v>
      </c>
      <c r="B22" s="541">
        <v>20</v>
      </c>
      <c r="C22" s="542">
        <v>997</v>
      </c>
      <c r="D22" s="541">
        <v>60</v>
      </c>
      <c r="E22" s="538">
        <v>2995.2</v>
      </c>
      <c r="F22" s="541">
        <v>80</v>
      </c>
      <c r="G22" s="538">
        <v>3992.2</v>
      </c>
      <c r="H22" s="540" t="s">
        <v>1238</v>
      </c>
      <c r="I22" s="540">
        <v>168</v>
      </c>
      <c r="J22" s="262"/>
    </row>
    <row r="23" spans="1:10" ht="15" customHeight="1">
      <c r="A23" s="535" t="s">
        <v>71</v>
      </c>
      <c r="B23" s="541">
        <v>950</v>
      </c>
      <c r="C23" s="542">
        <v>47429.5</v>
      </c>
      <c r="D23" s="541">
        <v>190</v>
      </c>
      <c r="E23" s="538">
        <v>9485.6</v>
      </c>
      <c r="F23" s="543">
        <v>1140</v>
      </c>
      <c r="G23" s="538">
        <v>56915.1</v>
      </c>
      <c r="H23" s="540" t="s">
        <v>1239</v>
      </c>
      <c r="I23" s="540">
        <v>185.47</v>
      </c>
      <c r="J23" s="262"/>
    </row>
    <row r="24" spans="1:10" ht="15" customHeight="1">
      <c r="A24" s="535" t="s">
        <v>1019</v>
      </c>
      <c r="B24" s="526"/>
      <c r="C24" s="542">
        <v>0</v>
      </c>
      <c r="D24" s="541">
        <v>30</v>
      </c>
      <c r="E24" s="538">
        <v>1497.6</v>
      </c>
      <c r="F24" s="541">
        <v>30</v>
      </c>
      <c r="G24" s="538">
        <v>1497.6</v>
      </c>
      <c r="H24" s="540" t="s">
        <v>1240</v>
      </c>
      <c r="I24" s="540">
        <v>180.67</v>
      </c>
      <c r="J24" s="262"/>
    </row>
    <row r="25" spans="1:10" ht="15" customHeight="1">
      <c r="A25" s="535" t="s">
        <v>75</v>
      </c>
      <c r="B25" s="541">
        <v>30</v>
      </c>
      <c r="C25" s="542">
        <v>1498.5</v>
      </c>
      <c r="D25" s="541">
        <v>20</v>
      </c>
      <c r="E25" s="538">
        <v>997.7</v>
      </c>
      <c r="F25" s="541">
        <v>50</v>
      </c>
      <c r="G25" s="538">
        <v>2496.2</v>
      </c>
      <c r="H25" s="540" t="s">
        <v>1241</v>
      </c>
      <c r="I25" s="540">
        <v>151.42</v>
      </c>
      <c r="J25" s="262"/>
    </row>
    <row r="26" spans="1:10" ht="15" customHeight="1">
      <c r="A26" s="535" t="s">
        <v>77</v>
      </c>
      <c r="B26" s="541">
        <v>35</v>
      </c>
      <c r="C26" s="542">
        <v>1745.5</v>
      </c>
      <c r="D26" s="541">
        <v>15</v>
      </c>
      <c r="E26" s="538">
        <v>748</v>
      </c>
      <c r="F26" s="541">
        <v>50</v>
      </c>
      <c r="G26" s="538">
        <v>2493.5</v>
      </c>
      <c r="H26" s="540" t="s">
        <v>1242</v>
      </c>
      <c r="I26" s="540">
        <v>115.31</v>
      </c>
      <c r="J26" s="262"/>
    </row>
    <row r="27" spans="1:10" ht="15" customHeight="1">
      <c r="A27" s="535" t="s">
        <v>79</v>
      </c>
      <c r="B27" s="526"/>
      <c r="C27" s="542">
        <v>0</v>
      </c>
      <c r="D27" s="541">
        <v>25</v>
      </c>
      <c r="E27" s="538">
        <v>1247.6</v>
      </c>
      <c r="F27" s="541">
        <v>25</v>
      </c>
      <c r="G27" s="538">
        <v>1247.6</v>
      </c>
      <c r="H27" s="540" t="s">
        <v>1243</v>
      </c>
      <c r="I27" s="540">
        <v>213</v>
      </c>
      <c r="J27" s="262"/>
    </row>
    <row r="28" spans="1:10" ht="15" customHeight="1">
      <c r="A28" s="535" t="s">
        <v>221</v>
      </c>
      <c r="B28" s="526"/>
      <c r="C28" s="542">
        <v>0</v>
      </c>
      <c r="D28" s="541">
        <v>80</v>
      </c>
      <c r="E28" s="538">
        <v>3983</v>
      </c>
      <c r="F28" s="541">
        <v>80</v>
      </c>
      <c r="G28" s="538">
        <v>3983</v>
      </c>
      <c r="H28" s="540" t="s">
        <v>1244</v>
      </c>
      <c r="I28" s="540">
        <v>116.5</v>
      </c>
      <c r="J28" s="262"/>
    </row>
    <row r="29" spans="1:10" ht="15" customHeight="1">
      <c r="A29" s="535" t="s">
        <v>83</v>
      </c>
      <c r="B29" s="541">
        <v>60</v>
      </c>
      <c r="C29" s="542">
        <v>2995.5</v>
      </c>
      <c r="D29" s="541">
        <v>5</v>
      </c>
      <c r="E29" s="538">
        <v>249.2</v>
      </c>
      <c r="F29" s="541">
        <v>65</v>
      </c>
      <c r="G29" s="538">
        <v>3244.7</v>
      </c>
      <c r="H29" s="540" t="s">
        <v>1245</v>
      </c>
      <c r="I29" s="540">
        <v>160.33</v>
      </c>
      <c r="J29" s="262"/>
    </row>
    <row r="30" spans="1:10" ht="15" customHeight="1">
      <c r="A30" s="535" t="s">
        <v>150</v>
      </c>
      <c r="B30" s="541">
        <v>22</v>
      </c>
      <c r="C30" s="542">
        <v>1092.5</v>
      </c>
      <c r="D30" s="541">
        <v>0</v>
      </c>
      <c r="E30" s="538">
        <v>0</v>
      </c>
      <c r="F30" s="541">
        <v>22</v>
      </c>
      <c r="G30" s="538">
        <v>1092.5</v>
      </c>
      <c r="H30" s="540" t="s">
        <v>1246</v>
      </c>
      <c r="I30" s="540">
        <v>244.91</v>
      </c>
      <c r="J30" s="262"/>
    </row>
    <row r="31" spans="1:10" ht="15" customHeight="1">
      <c r="A31" s="535" t="s">
        <v>155</v>
      </c>
      <c r="B31" s="541">
        <v>15</v>
      </c>
      <c r="C31" s="542">
        <v>747</v>
      </c>
      <c r="D31" s="541">
        <v>0</v>
      </c>
      <c r="E31" s="538">
        <v>0</v>
      </c>
      <c r="F31" s="541">
        <v>15</v>
      </c>
      <c r="G31" s="538">
        <v>747</v>
      </c>
      <c r="H31" s="540">
        <v>90387</v>
      </c>
      <c r="I31" s="540">
        <v>121</v>
      </c>
      <c r="J31" s="262"/>
    </row>
    <row r="32" spans="1:10" ht="15" customHeight="1">
      <c r="A32" s="535" t="s">
        <v>92</v>
      </c>
      <c r="B32" s="526"/>
      <c r="C32" s="542">
        <v>0</v>
      </c>
      <c r="D32" s="541">
        <v>20</v>
      </c>
      <c r="E32" s="538">
        <v>997.4</v>
      </c>
      <c r="F32" s="541">
        <v>20</v>
      </c>
      <c r="G32" s="538">
        <v>997.4</v>
      </c>
      <c r="H32" s="540" t="s">
        <v>1247</v>
      </c>
      <c r="I32" s="540">
        <v>158.55</v>
      </c>
      <c r="J32" s="262"/>
    </row>
    <row r="33" spans="1:10" ht="15" customHeight="1">
      <c r="A33" s="535" t="s">
        <v>190</v>
      </c>
      <c r="B33" s="541">
        <v>10</v>
      </c>
      <c r="C33" s="542">
        <v>500</v>
      </c>
      <c r="D33" s="541">
        <v>0</v>
      </c>
      <c r="E33" s="538">
        <v>0</v>
      </c>
      <c r="F33" s="541">
        <v>10</v>
      </c>
      <c r="G33" s="538">
        <v>500</v>
      </c>
      <c r="H33" s="540" t="s">
        <v>1248</v>
      </c>
      <c r="I33" s="540">
        <v>235</v>
      </c>
      <c r="J33" s="262"/>
    </row>
    <row r="34" spans="1:10" ht="15" customHeight="1">
      <c r="A34" s="535" t="s">
        <v>98</v>
      </c>
      <c r="B34" s="541">
        <v>105</v>
      </c>
      <c r="C34" s="542">
        <v>5232</v>
      </c>
      <c r="D34" s="541">
        <v>0</v>
      </c>
      <c r="E34" s="538">
        <v>0</v>
      </c>
      <c r="F34" s="541">
        <v>105</v>
      </c>
      <c r="G34" s="538">
        <v>5232</v>
      </c>
      <c r="H34" s="540">
        <v>980810</v>
      </c>
      <c r="I34" s="540">
        <v>187.4636850152905</v>
      </c>
      <c r="J34" s="262"/>
    </row>
    <row r="35" spans="1:10" ht="15" customHeight="1">
      <c r="A35" s="535" t="s">
        <v>99</v>
      </c>
      <c r="B35" s="526">
        <v>120</v>
      </c>
      <c r="C35" s="542">
        <v>5988</v>
      </c>
      <c r="D35" s="541">
        <v>70</v>
      </c>
      <c r="E35" s="538">
        <v>3493.6</v>
      </c>
      <c r="F35" s="541">
        <v>190</v>
      </c>
      <c r="G35" s="538">
        <v>9481.6</v>
      </c>
      <c r="H35" s="540">
        <v>1788527.9</v>
      </c>
      <c r="I35" s="540">
        <v>188.63144406007424</v>
      </c>
      <c r="J35" s="262"/>
    </row>
    <row r="36" spans="1:10" ht="15" customHeight="1">
      <c r="A36" s="535" t="s">
        <v>101</v>
      </c>
      <c r="B36" s="541">
        <v>1</v>
      </c>
      <c r="C36" s="542">
        <v>10</v>
      </c>
      <c r="D36" s="541">
        <v>0</v>
      </c>
      <c r="E36" s="538">
        <v>0</v>
      </c>
      <c r="F36" s="541">
        <v>1</v>
      </c>
      <c r="G36" s="538">
        <v>10</v>
      </c>
      <c r="H36" s="540">
        <v>13500</v>
      </c>
      <c r="I36" s="540">
        <v>1350</v>
      </c>
      <c r="J36" s="262"/>
    </row>
    <row r="37" spans="1:10" ht="15" customHeight="1">
      <c r="A37" s="535" t="s">
        <v>271</v>
      </c>
      <c r="B37" s="541">
        <v>10</v>
      </c>
      <c r="C37" s="542">
        <v>498.5</v>
      </c>
      <c r="D37" s="541">
        <v>0</v>
      </c>
      <c r="E37" s="538">
        <v>0</v>
      </c>
      <c r="F37" s="541">
        <v>10</v>
      </c>
      <c r="G37" s="538">
        <v>498.5</v>
      </c>
      <c r="H37" s="540">
        <v>55832</v>
      </c>
      <c r="I37" s="540">
        <v>112</v>
      </c>
      <c r="J37" s="262"/>
    </row>
    <row r="38" spans="1:10" ht="15" customHeight="1">
      <c r="A38" s="535" t="s">
        <v>14</v>
      </c>
      <c r="B38" s="543">
        <v>1655</v>
      </c>
      <c r="C38" s="542">
        <v>82554</v>
      </c>
      <c r="D38" s="541">
        <v>580</v>
      </c>
      <c r="E38" s="538">
        <v>28937.7</v>
      </c>
      <c r="F38" s="543">
        <v>2235</v>
      </c>
      <c r="G38" s="538" t="s">
        <v>1249</v>
      </c>
      <c r="H38" s="540" t="s">
        <v>1250</v>
      </c>
      <c r="I38" s="540">
        <v>180.18</v>
      </c>
      <c r="J38" s="262"/>
    </row>
    <row r="39" spans="1:10" ht="15" customHeight="1">
      <c r="A39" s="544"/>
      <c r="B39" s="527"/>
      <c r="C39" s="529"/>
      <c r="D39" s="527"/>
      <c r="E39" s="529"/>
      <c r="F39" s="527"/>
      <c r="G39" s="529"/>
      <c r="H39" s="529"/>
      <c r="I39" s="540"/>
      <c r="J39" s="262"/>
    </row>
    <row r="40" spans="1:9" ht="15" customHeight="1">
      <c r="A40" s="531"/>
      <c r="B40" s="545"/>
      <c r="C40" s="528"/>
      <c r="D40" s="545"/>
      <c r="E40" s="546"/>
      <c r="F40" s="547"/>
      <c r="G40" s="528" t="s">
        <v>119</v>
      </c>
      <c r="H40" s="528"/>
      <c r="I40" s="530"/>
    </row>
    <row r="41" spans="1:9" ht="15" customHeight="1">
      <c r="A41" s="531"/>
      <c r="B41" s="545"/>
      <c r="C41" s="528"/>
      <c r="D41" s="545"/>
      <c r="E41" s="546"/>
      <c r="F41" s="546"/>
      <c r="G41" s="548" t="s">
        <v>121</v>
      </c>
      <c r="H41" s="528"/>
      <c r="I41" s="530"/>
    </row>
    <row r="42" spans="1:9" ht="15" customHeight="1">
      <c r="A42" s="514" t="s">
        <v>117</v>
      </c>
      <c r="B42" s="545"/>
      <c r="C42" s="528"/>
      <c r="D42" s="545"/>
      <c r="E42" s="546"/>
      <c r="F42" s="545"/>
      <c r="G42" s="528"/>
      <c r="H42" s="528"/>
      <c r="I42" s="530"/>
    </row>
    <row r="43" spans="1:9" ht="15" customHeight="1">
      <c r="A43" s="514" t="s">
        <v>118</v>
      </c>
      <c r="B43" s="545"/>
      <c r="C43" s="528"/>
      <c r="D43" s="545"/>
      <c r="E43" s="546"/>
      <c r="F43" s="545"/>
      <c r="G43" s="528"/>
      <c r="H43" s="528"/>
      <c r="I43" s="530"/>
    </row>
    <row r="44" spans="1:9" ht="15" customHeight="1">
      <c r="A44" s="514" t="s">
        <v>120</v>
      </c>
      <c r="B44" s="545"/>
      <c r="C44" s="528"/>
      <c r="D44" s="545"/>
      <c r="E44" s="546"/>
      <c r="F44" s="545"/>
      <c r="G44" s="528"/>
      <c r="H44" s="528"/>
      <c r="I44" s="530"/>
    </row>
    <row r="45" spans="1:9" ht="15" customHeight="1">
      <c r="A45" s="514" t="s">
        <v>122</v>
      </c>
      <c r="B45" s="545"/>
      <c r="C45" s="528"/>
      <c r="D45" s="545"/>
      <c r="E45" s="546"/>
      <c r="F45" s="545"/>
      <c r="G45" s="528"/>
      <c r="H45" s="528"/>
      <c r="I45" s="530"/>
    </row>
    <row r="46" spans="1:9" ht="15" customHeight="1">
      <c r="A46" s="514" t="s">
        <v>123</v>
      </c>
      <c r="B46" s="545"/>
      <c r="C46" s="528"/>
      <c r="D46" s="545"/>
      <c r="E46" s="546"/>
      <c r="F46" s="545"/>
      <c r="G46" s="528"/>
      <c r="H46" s="528"/>
      <c r="I46" s="530"/>
    </row>
    <row r="47" spans="1:9" ht="15" customHeight="1">
      <c r="A47" s="509"/>
      <c r="B47" s="512"/>
      <c r="C47" s="510"/>
      <c r="D47" s="512"/>
      <c r="E47" s="513"/>
      <c r="F47" s="512"/>
      <c r="G47" s="510"/>
      <c r="H47" s="510"/>
      <c r="I47" s="511"/>
    </row>
    <row r="48" spans="1:9" ht="15" customHeight="1">
      <c r="A48" s="114"/>
      <c r="B48" s="355"/>
      <c r="C48" s="342"/>
      <c r="D48" s="355"/>
      <c r="E48" s="117"/>
      <c r="F48" s="355"/>
      <c r="G48" s="342"/>
      <c r="H48" s="342"/>
      <c r="I48" s="118"/>
    </row>
    <row r="49" spans="1:9" ht="15" customHeight="1">
      <c r="A49" s="114"/>
      <c r="B49" s="355"/>
      <c r="C49" s="342"/>
      <c r="D49" s="355"/>
      <c r="E49" s="117"/>
      <c r="F49" s="355"/>
      <c r="G49" s="342"/>
      <c r="H49" s="342"/>
      <c r="I49" s="118"/>
    </row>
    <row r="50" spans="1:9" ht="15" customHeight="1">
      <c r="A50" s="114"/>
      <c r="B50" s="355"/>
      <c r="C50" s="342"/>
      <c r="D50" s="355"/>
      <c r="E50" s="117"/>
      <c r="F50" s="355"/>
      <c r="G50" s="342"/>
      <c r="H50" s="342"/>
      <c r="I50" s="118"/>
    </row>
    <row r="51" spans="1:9" ht="15" customHeight="1">
      <c r="A51" s="114"/>
      <c r="B51" s="355"/>
      <c r="C51" s="342"/>
      <c r="D51" s="355"/>
      <c r="E51" s="117"/>
      <c r="F51" s="355"/>
      <c r="G51" s="342"/>
      <c r="H51" s="342"/>
      <c r="I51" s="118"/>
    </row>
    <row r="52" spans="1:9" ht="15" customHeight="1">
      <c r="A52" s="114"/>
      <c r="B52" s="355"/>
      <c r="C52" s="342"/>
      <c r="D52" s="355"/>
      <c r="E52" s="117"/>
      <c r="F52" s="355"/>
      <c r="G52" s="342"/>
      <c r="H52" s="342"/>
      <c r="I52" s="118"/>
    </row>
    <row r="53" ht="15" customHeight="1">
      <c r="A53" s="1"/>
    </row>
    <row r="54" spans="1:15" s="31" customFormat="1" ht="15" customHeight="1">
      <c r="A54" s="1"/>
      <c r="C54" s="360"/>
      <c r="E54" s="244"/>
      <c r="G54" s="360"/>
      <c r="H54" s="360"/>
      <c r="I54" s="48"/>
      <c r="J54" s="378"/>
      <c r="K54" s="378"/>
      <c r="L54" s="378"/>
      <c r="M54" s="378"/>
      <c r="N54" s="378"/>
      <c r="O54" s="378"/>
    </row>
    <row r="55" spans="1:15" s="31" customFormat="1" ht="15" customHeight="1">
      <c r="A55" s="1"/>
      <c r="C55" s="360"/>
      <c r="E55" s="244"/>
      <c r="G55" s="360"/>
      <c r="H55" s="360"/>
      <c r="I55" s="48"/>
      <c r="J55" s="378"/>
      <c r="K55" s="378"/>
      <c r="L55" s="378"/>
      <c r="M55" s="378"/>
      <c r="N55" s="378"/>
      <c r="O55" s="378"/>
    </row>
    <row r="56" spans="1:15" s="31" customFormat="1" ht="15" customHeight="1">
      <c r="A56" s="1"/>
      <c r="C56" s="360"/>
      <c r="E56" s="244"/>
      <c r="G56" s="360"/>
      <c r="H56" s="360"/>
      <c r="I56" s="48"/>
      <c r="J56" s="378"/>
      <c r="K56" s="378"/>
      <c r="L56" s="378"/>
      <c r="M56" s="378"/>
      <c r="N56" s="378"/>
      <c r="O56" s="378"/>
    </row>
    <row r="57" spans="1:15" s="31" customFormat="1" ht="15" customHeight="1">
      <c r="A57" s="1"/>
      <c r="C57" s="360"/>
      <c r="E57" s="244"/>
      <c r="G57" s="360"/>
      <c r="H57" s="360"/>
      <c r="I57" s="48"/>
      <c r="J57" s="378"/>
      <c r="K57" s="378"/>
      <c r="L57" s="378"/>
      <c r="M57" s="378"/>
      <c r="N57" s="378"/>
      <c r="O57" s="378"/>
    </row>
  </sheetData>
  <sheetProtection/>
  <printOptions/>
  <pageMargins left="0.7" right="0.7" top="0.58" bottom="0.5" header="0.3" footer="0.3"/>
  <pageSetup horizontalDpi="600" verticalDpi="600" orientation="portrait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204"/>
  <sheetViews>
    <sheetView showGridLines="0" zoomScalePageLayoutView="0" workbookViewId="0" topLeftCell="A1">
      <selection activeCell="C36" sqref="C36"/>
    </sheetView>
  </sheetViews>
  <sheetFormatPr defaultColWidth="9.140625" defaultRowHeight="11.25" customHeight="1"/>
  <cols>
    <col min="1" max="1" width="26.7109375" style="4" customWidth="1"/>
    <col min="2" max="2" width="7.57421875" style="4" customWidth="1"/>
    <col min="3" max="3" width="12.57421875" style="6" customWidth="1"/>
    <col min="4" max="4" width="12.7109375" style="5" customWidth="1"/>
    <col min="5" max="5" width="15.00390625" style="6" customWidth="1"/>
    <col min="6" max="6" width="14.421875" style="5" customWidth="1"/>
    <col min="7" max="7" width="9.8515625" style="5" customWidth="1"/>
    <col min="8" max="8" width="10.57421875" style="5" customWidth="1"/>
    <col min="9" max="9" width="9.28125" style="3" customWidth="1"/>
    <col min="10" max="10" width="21.28125" style="378" bestFit="1" customWidth="1"/>
    <col min="11" max="16384" width="9.140625" style="378" customWidth="1"/>
  </cols>
  <sheetData>
    <row r="1" spans="1:9" ht="11.25" customHeight="1">
      <c r="A1" s="380"/>
      <c r="B1" s="380"/>
      <c r="C1" s="381" t="s">
        <v>3</v>
      </c>
      <c r="D1" s="382"/>
      <c r="E1" s="383"/>
      <c r="F1" s="384"/>
      <c r="G1" s="382"/>
      <c r="H1" s="380"/>
      <c r="I1" s="15"/>
    </row>
    <row r="2" spans="1:9" ht="11.25" customHeight="1">
      <c r="A2" s="380"/>
      <c r="B2" s="380"/>
      <c r="C2" s="381" t="s">
        <v>4</v>
      </c>
      <c r="D2" s="385"/>
      <c r="E2" s="381"/>
      <c r="F2" s="384"/>
      <c r="G2" s="382"/>
      <c r="H2" s="380"/>
      <c r="I2" s="15"/>
    </row>
    <row r="3" spans="1:9" ht="11.25" customHeight="1">
      <c r="A3" s="380"/>
      <c r="B3" s="380"/>
      <c r="C3" s="381" t="s">
        <v>33</v>
      </c>
      <c r="D3" s="385"/>
      <c r="E3" s="381"/>
      <c r="F3" s="384"/>
      <c r="G3" s="382"/>
      <c r="H3" s="380"/>
      <c r="I3" s="15"/>
    </row>
    <row r="4" spans="1:9" ht="11.25" customHeight="1">
      <c r="A4" s="386"/>
      <c r="B4" s="380"/>
      <c r="C4" s="381" t="s">
        <v>31</v>
      </c>
      <c r="D4" s="385"/>
      <c r="E4" s="381"/>
      <c r="F4" s="384"/>
      <c r="G4" s="387"/>
      <c r="H4" s="380"/>
      <c r="I4" s="15"/>
    </row>
    <row r="5" spans="1:9" ht="11.25" customHeight="1">
      <c r="A5" s="380"/>
      <c r="B5" s="386"/>
      <c r="C5" s="388"/>
      <c r="D5" s="387"/>
      <c r="E5" s="383" t="s">
        <v>1253</v>
      </c>
      <c r="F5" s="384"/>
      <c r="G5" s="387"/>
      <c r="H5" s="380"/>
      <c r="I5" s="15"/>
    </row>
    <row r="6" spans="1:9" ht="11.25" customHeight="1">
      <c r="A6" s="389" t="s">
        <v>39</v>
      </c>
      <c r="B6" s="386"/>
      <c r="C6" s="388"/>
      <c r="D6" s="387"/>
      <c r="E6" s="388"/>
      <c r="F6" s="384"/>
      <c r="G6" s="387"/>
      <c r="H6" s="380"/>
      <c r="I6" s="15"/>
    </row>
    <row r="7" spans="1:9" ht="11.25" customHeight="1">
      <c r="A7" s="390" t="s">
        <v>312</v>
      </c>
      <c r="B7" s="390"/>
      <c r="C7" s="856" t="s">
        <v>1263</v>
      </c>
      <c r="D7" s="856"/>
      <c r="E7" s="391" t="s">
        <v>1264</v>
      </c>
      <c r="F7" s="384"/>
      <c r="G7" s="382"/>
      <c r="H7" s="380"/>
      <c r="I7" s="15"/>
    </row>
    <row r="8" spans="1:9" ht="11.25" customHeight="1">
      <c r="A8" s="392" t="s">
        <v>243</v>
      </c>
      <c r="B8" s="380"/>
      <c r="C8" s="393" t="s">
        <v>0</v>
      </c>
      <c r="D8" s="394" t="s">
        <v>1</v>
      </c>
      <c r="E8" s="393" t="s">
        <v>0</v>
      </c>
      <c r="F8" s="394" t="s">
        <v>1</v>
      </c>
      <c r="G8" s="382"/>
      <c r="H8" s="380"/>
      <c r="I8" s="15"/>
    </row>
    <row r="9" spans="1:9" ht="11.25" customHeight="1">
      <c r="A9" s="389" t="s">
        <v>1207</v>
      </c>
      <c r="B9" s="380"/>
      <c r="C9" s="413">
        <v>0</v>
      </c>
      <c r="D9" s="400">
        <v>0</v>
      </c>
      <c r="E9" s="413">
        <v>25457.2</v>
      </c>
      <c r="F9" s="400">
        <v>109.21819760225004</v>
      </c>
      <c r="G9" s="382"/>
      <c r="H9" s="380"/>
      <c r="I9" s="15"/>
    </row>
    <row r="10" spans="1:9" ht="11.25" customHeight="1">
      <c r="A10" s="389" t="s">
        <v>277</v>
      </c>
      <c r="B10" s="380"/>
      <c r="C10" s="413">
        <v>0</v>
      </c>
      <c r="D10" s="400">
        <v>0</v>
      </c>
      <c r="E10" s="413">
        <v>72620.59999999999</v>
      </c>
      <c r="F10" s="400">
        <v>127.85200755708435</v>
      </c>
      <c r="G10" s="382"/>
      <c r="H10" s="380"/>
      <c r="I10" s="15"/>
    </row>
    <row r="11" spans="1:9" ht="11.25" customHeight="1">
      <c r="A11" s="389" t="s">
        <v>279</v>
      </c>
      <c r="B11" s="380"/>
      <c r="C11" s="413">
        <v>0</v>
      </c>
      <c r="D11" s="400">
        <v>0</v>
      </c>
      <c r="E11" s="413">
        <v>2991</v>
      </c>
      <c r="F11" s="400">
        <v>240.16666666666666</v>
      </c>
      <c r="G11" s="382"/>
      <c r="H11" s="380"/>
      <c r="I11" s="15"/>
    </row>
    <row r="12" spans="1:9" ht="11.25" customHeight="1">
      <c r="A12" s="389" t="s">
        <v>278</v>
      </c>
      <c r="B12" s="380"/>
      <c r="C12" s="413">
        <v>498.5</v>
      </c>
      <c r="D12" s="400">
        <v>173</v>
      </c>
      <c r="E12" s="413">
        <v>120818.9</v>
      </c>
      <c r="F12" s="400">
        <v>189.2131884994815</v>
      </c>
      <c r="G12" s="382"/>
      <c r="H12" s="380"/>
      <c r="I12" s="15"/>
    </row>
    <row r="13" spans="1:9" ht="11.25" customHeight="1">
      <c r="A13" s="389" t="s">
        <v>1208</v>
      </c>
      <c r="B13" s="380"/>
      <c r="C13" s="413">
        <v>0</v>
      </c>
      <c r="D13" s="400">
        <v>0</v>
      </c>
      <c r="E13" s="413">
        <v>39376.4</v>
      </c>
      <c r="F13" s="400">
        <v>195.02741489826394</v>
      </c>
      <c r="G13" s="382"/>
      <c r="H13" s="380"/>
      <c r="I13" s="15"/>
    </row>
    <row r="14" spans="1:9" ht="11.25" customHeight="1">
      <c r="A14" s="389" t="s">
        <v>280</v>
      </c>
      <c r="B14" s="380"/>
      <c r="C14" s="413">
        <v>4992.5</v>
      </c>
      <c r="D14" s="400">
        <v>140</v>
      </c>
      <c r="E14" s="413">
        <v>281090.7</v>
      </c>
      <c r="F14" s="400">
        <v>162.06502705354535</v>
      </c>
      <c r="G14" s="382"/>
      <c r="H14" s="380"/>
      <c r="I14" s="15"/>
    </row>
    <row r="15" spans="1:9" ht="11.25" customHeight="1">
      <c r="A15" s="389" t="s">
        <v>281</v>
      </c>
      <c r="B15" s="380"/>
      <c r="C15" s="413">
        <v>0</v>
      </c>
      <c r="D15" s="400">
        <v>0</v>
      </c>
      <c r="E15" s="413">
        <v>83085.09999999999</v>
      </c>
      <c r="F15" s="400">
        <v>121.3495668898515</v>
      </c>
      <c r="G15" s="382"/>
      <c r="H15" s="380"/>
      <c r="I15" s="15"/>
    </row>
    <row r="16" spans="1:9" ht="11.25" customHeight="1">
      <c r="A16" s="389" t="s">
        <v>1209</v>
      </c>
      <c r="B16" s="380"/>
      <c r="C16" s="413">
        <v>0</v>
      </c>
      <c r="D16" s="400">
        <v>0</v>
      </c>
      <c r="E16" s="413">
        <v>1745.4</v>
      </c>
      <c r="F16" s="400">
        <v>101.43405523089262</v>
      </c>
      <c r="G16" s="382"/>
      <c r="H16" s="380"/>
      <c r="I16" s="15"/>
    </row>
    <row r="17" spans="1:9" ht="11.25" customHeight="1">
      <c r="A17" s="389" t="s">
        <v>1210</v>
      </c>
      <c r="B17" s="380"/>
      <c r="C17" s="413">
        <v>0</v>
      </c>
      <c r="D17" s="400">
        <v>0</v>
      </c>
      <c r="E17" s="413">
        <v>11966.1</v>
      </c>
      <c r="F17" s="400">
        <v>100</v>
      </c>
      <c r="G17" s="382"/>
      <c r="H17" s="380"/>
      <c r="I17" s="15"/>
    </row>
    <row r="18" spans="1:9" ht="11.25" customHeight="1">
      <c r="A18" s="389" t="s">
        <v>1211</v>
      </c>
      <c r="B18" s="380"/>
      <c r="C18" s="413">
        <v>0</v>
      </c>
      <c r="D18" s="400">
        <v>0</v>
      </c>
      <c r="E18" s="413">
        <v>7487.9</v>
      </c>
      <c r="F18" s="400">
        <v>208.66708957117484</v>
      </c>
      <c r="G18" s="382"/>
      <c r="H18" s="380"/>
      <c r="I18" s="15"/>
    </row>
    <row r="19" spans="1:9" ht="11.25" customHeight="1">
      <c r="A19" s="389" t="s">
        <v>1212</v>
      </c>
      <c r="B19" s="380"/>
      <c r="C19" s="413">
        <v>0</v>
      </c>
      <c r="D19" s="400">
        <v>0</v>
      </c>
      <c r="E19" s="413">
        <v>30402.899999999998</v>
      </c>
      <c r="F19" s="400">
        <v>177.0111831437133</v>
      </c>
      <c r="G19" s="382"/>
      <c r="H19" s="380"/>
      <c r="I19" s="15"/>
    </row>
    <row r="20" spans="1:9" ht="11.25" customHeight="1">
      <c r="A20" s="389" t="s">
        <v>282</v>
      </c>
      <c r="B20" s="380"/>
      <c r="C20" s="413">
        <v>0</v>
      </c>
      <c r="D20" s="400">
        <v>0</v>
      </c>
      <c r="E20" s="413">
        <v>69525.79999999999</v>
      </c>
      <c r="F20" s="400">
        <v>182.38632852840243</v>
      </c>
      <c r="G20" s="382"/>
      <c r="H20" s="380"/>
      <c r="I20" s="15"/>
    </row>
    <row r="21" spans="1:9" ht="11.25" customHeight="1">
      <c r="A21" s="389" t="s">
        <v>283</v>
      </c>
      <c r="B21" s="380"/>
      <c r="C21" s="413">
        <v>0</v>
      </c>
      <c r="D21" s="400">
        <v>0</v>
      </c>
      <c r="E21" s="413">
        <v>473758.7000000001</v>
      </c>
      <c r="F21" s="400">
        <v>266.17933918680535</v>
      </c>
      <c r="G21" s="382"/>
      <c r="H21" s="380"/>
      <c r="I21" s="15"/>
    </row>
    <row r="22" spans="1:9" ht="11.25" customHeight="1">
      <c r="A22" s="389" t="s">
        <v>284</v>
      </c>
      <c r="B22" s="380"/>
      <c r="C22" s="413">
        <v>0</v>
      </c>
      <c r="D22" s="400">
        <v>0</v>
      </c>
      <c r="E22" s="413">
        <v>33357.7</v>
      </c>
      <c r="F22" s="400">
        <v>112.66166132557102</v>
      </c>
      <c r="G22" s="382"/>
      <c r="H22" s="380"/>
      <c r="I22" s="15"/>
    </row>
    <row r="23" spans="1:9" ht="11.25" customHeight="1">
      <c r="A23" s="389" t="s">
        <v>285</v>
      </c>
      <c r="B23" s="380"/>
      <c r="C23" s="413">
        <v>0</v>
      </c>
      <c r="D23" s="400">
        <v>0</v>
      </c>
      <c r="E23" s="413">
        <v>101404.29999999999</v>
      </c>
      <c r="F23" s="400">
        <v>173.29233572935271</v>
      </c>
      <c r="G23" s="382"/>
      <c r="H23" s="380"/>
      <c r="I23" s="15"/>
    </row>
    <row r="24" spans="1:9" ht="11.25" customHeight="1">
      <c r="A24" s="389" t="s">
        <v>1213</v>
      </c>
      <c r="B24" s="380"/>
      <c r="C24" s="413">
        <v>0</v>
      </c>
      <c r="D24" s="400">
        <v>0</v>
      </c>
      <c r="E24" s="413">
        <v>22426.7</v>
      </c>
      <c r="F24" s="400">
        <v>136.7184070772784</v>
      </c>
      <c r="G24" s="382"/>
      <c r="H24" s="380"/>
      <c r="I24" s="15"/>
    </row>
    <row r="25" spans="1:9" ht="11.25" customHeight="1">
      <c r="A25" s="389" t="s">
        <v>286</v>
      </c>
      <c r="B25" s="380"/>
      <c r="C25" s="413">
        <v>0</v>
      </c>
      <c r="D25" s="400">
        <v>0</v>
      </c>
      <c r="E25" s="413">
        <v>203514.7</v>
      </c>
      <c r="F25" s="400">
        <v>226.27867470998405</v>
      </c>
      <c r="G25" s="382"/>
      <c r="H25" s="380"/>
      <c r="I25" s="15"/>
    </row>
    <row r="26" spans="1:9" ht="11.25" customHeight="1">
      <c r="A26" s="389" t="s">
        <v>1214</v>
      </c>
      <c r="B26" s="380"/>
      <c r="C26" s="413">
        <v>0</v>
      </c>
      <c r="D26" s="400">
        <v>0</v>
      </c>
      <c r="E26" s="413">
        <v>12462.5</v>
      </c>
      <c r="F26" s="400">
        <v>193.64</v>
      </c>
      <c r="G26" s="382"/>
      <c r="H26" s="380"/>
      <c r="I26" s="15"/>
    </row>
    <row r="27" spans="1:9" ht="11.25" customHeight="1">
      <c r="A27" s="389" t="s">
        <v>287</v>
      </c>
      <c r="B27" s="380"/>
      <c r="C27" s="413">
        <v>1495.5</v>
      </c>
      <c r="D27" s="400">
        <v>153</v>
      </c>
      <c r="E27" s="413">
        <v>166344.8</v>
      </c>
      <c r="F27" s="400">
        <v>174.50441612842724</v>
      </c>
      <c r="G27" s="382"/>
      <c r="H27" s="380"/>
      <c r="I27" s="15"/>
    </row>
    <row r="28" spans="1:9" ht="11.25" customHeight="1">
      <c r="A28" s="389" t="s">
        <v>288</v>
      </c>
      <c r="B28" s="380"/>
      <c r="C28" s="413">
        <v>3994</v>
      </c>
      <c r="D28" s="400">
        <v>146.5</v>
      </c>
      <c r="E28" s="413">
        <v>410200.49999999994</v>
      </c>
      <c r="F28" s="400">
        <v>178.94139378182132</v>
      </c>
      <c r="G28" s="382"/>
      <c r="H28" s="380"/>
      <c r="I28" s="15"/>
    </row>
    <row r="29" spans="1:9" ht="11.25" customHeight="1">
      <c r="A29" s="389" t="s">
        <v>1215</v>
      </c>
      <c r="B29" s="380"/>
      <c r="C29" s="413">
        <v>0</v>
      </c>
      <c r="D29" s="400">
        <v>0</v>
      </c>
      <c r="E29" s="413">
        <v>12483.4</v>
      </c>
      <c r="F29" s="400">
        <v>128.42010990595512</v>
      </c>
      <c r="G29" s="382"/>
      <c r="H29" s="380"/>
      <c r="I29" s="15"/>
    </row>
    <row r="30" spans="1:9" ht="11.25" customHeight="1">
      <c r="A30" s="389" t="s">
        <v>289</v>
      </c>
      <c r="B30" s="380"/>
      <c r="C30" s="413">
        <v>0</v>
      </c>
      <c r="D30" s="400">
        <v>0</v>
      </c>
      <c r="E30" s="413">
        <v>324526.89999999997</v>
      </c>
      <c r="F30" s="400">
        <v>221.35119800546582</v>
      </c>
      <c r="G30" s="382"/>
      <c r="H30" s="380"/>
      <c r="I30" s="15"/>
    </row>
    <row r="31" spans="1:9" ht="11.25" customHeight="1">
      <c r="A31" s="389" t="s">
        <v>290</v>
      </c>
      <c r="B31" s="380"/>
      <c r="C31" s="413">
        <v>0</v>
      </c>
      <c r="D31" s="400">
        <v>0</v>
      </c>
      <c r="E31" s="413">
        <v>46786.799999999996</v>
      </c>
      <c r="F31" s="400">
        <v>107.00774363709424</v>
      </c>
      <c r="G31" s="382"/>
      <c r="H31" s="380"/>
      <c r="I31" s="15"/>
    </row>
    <row r="32" spans="1:9" ht="11.25" customHeight="1">
      <c r="A32" s="389" t="s">
        <v>291</v>
      </c>
      <c r="B32" s="380"/>
      <c r="C32" s="413">
        <v>0</v>
      </c>
      <c r="D32" s="400">
        <v>0</v>
      </c>
      <c r="E32" s="413">
        <v>210133.80000000002</v>
      </c>
      <c r="F32" s="400">
        <v>135.8720172575759</v>
      </c>
      <c r="G32" s="382"/>
      <c r="H32" s="380"/>
      <c r="I32" s="15"/>
    </row>
    <row r="33" spans="1:9" ht="11.25" customHeight="1">
      <c r="A33" s="389" t="s">
        <v>292</v>
      </c>
      <c r="B33" s="380"/>
      <c r="C33" s="413">
        <v>0</v>
      </c>
      <c r="D33" s="400">
        <v>0</v>
      </c>
      <c r="E33" s="413">
        <v>112154.09999999996</v>
      </c>
      <c r="F33" s="400">
        <v>215.96456928458267</v>
      </c>
      <c r="G33" s="382"/>
      <c r="H33" s="380"/>
      <c r="I33" s="15"/>
    </row>
    <row r="34" spans="1:9" ht="11.25" customHeight="1">
      <c r="A34" s="389" t="s">
        <v>1216</v>
      </c>
      <c r="B34" s="380"/>
      <c r="C34" s="413">
        <v>0</v>
      </c>
      <c r="D34" s="400">
        <v>0</v>
      </c>
      <c r="E34" s="413">
        <v>8975.8</v>
      </c>
      <c r="F34" s="400">
        <v>171.7285478731701</v>
      </c>
      <c r="G34" s="382"/>
      <c r="H34" s="380"/>
      <c r="I34" s="15"/>
    </row>
    <row r="35" spans="1:9" ht="11.25" customHeight="1">
      <c r="A35" s="389" t="s">
        <v>294</v>
      </c>
      <c r="B35" s="380"/>
      <c r="C35" s="413">
        <v>0</v>
      </c>
      <c r="D35" s="400">
        <v>0</v>
      </c>
      <c r="E35" s="413">
        <v>13138.2</v>
      </c>
      <c r="F35" s="400">
        <v>100.47320028618836</v>
      </c>
      <c r="G35" s="382"/>
      <c r="H35" s="380"/>
      <c r="I35" s="15"/>
    </row>
    <row r="36" spans="1:9" ht="11.25" customHeight="1">
      <c r="A36" s="389" t="s">
        <v>295</v>
      </c>
      <c r="B36" s="380"/>
      <c r="C36" s="413">
        <v>0</v>
      </c>
      <c r="D36" s="400">
        <v>0</v>
      </c>
      <c r="E36" s="413">
        <v>102297.9</v>
      </c>
      <c r="F36" s="400">
        <v>119.40545211583034</v>
      </c>
      <c r="G36" s="382"/>
      <c r="H36" s="380"/>
      <c r="I36" s="15"/>
    </row>
    <row r="37" spans="1:9" ht="11.25" customHeight="1">
      <c r="A37" s="389" t="s">
        <v>293</v>
      </c>
      <c r="B37" s="380"/>
      <c r="C37" s="413">
        <v>0</v>
      </c>
      <c r="D37" s="400">
        <v>0</v>
      </c>
      <c r="E37" s="413">
        <v>162656.9</v>
      </c>
      <c r="F37" s="400">
        <v>185.94891271135748</v>
      </c>
      <c r="G37" s="382"/>
      <c r="H37" s="380"/>
      <c r="I37" s="15"/>
    </row>
    <row r="38" spans="1:9" ht="11.25" customHeight="1">
      <c r="A38" s="389" t="s">
        <v>1217</v>
      </c>
      <c r="B38" s="380"/>
      <c r="C38" s="413">
        <v>0</v>
      </c>
      <c r="D38" s="400">
        <v>0</v>
      </c>
      <c r="E38" s="413">
        <v>32885.8</v>
      </c>
      <c r="F38" s="400">
        <v>193.86342433512334</v>
      </c>
      <c r="G38" s="382"/>
      <c r="H38" s="380"/>
      <c r="I38" s="15"/>
    </row>
    <row r="39" spans="1:9" ht="11.25" customHeight="1">
      <c r="A39" s="389" t="s">
        <v>1218</v>
      </c>
      <c r="B39" s="380"/>
      <c r="C39" s="413">
        <v>0</v>
      </c>
      <c r="D39" s="400">
        <v>0</v>
      </c>
      <c r="E39" s="413">
        <v>29457.4</v>
      </c>
      <c r="F39" s="400">
        <v>180.93801557503377</v>
      </c>
      <c r="G39" s="382"/>
      <c r="H39" s="380"/>
      <c r="I39" s="15"/>
    </row>
    <row r="40" spans="1:9" ht="11.25" customHeight="1">
      <c r="A40" s="389" t="s">
        <v>296</v>
      </c>
      <c r="B40" s="380"/>
      <c r="C40" s="413">
        <v>0</v>
      </c>
      <c r="D40" s="400">
        <v>0</v>
      </c>
      <c r="E40" s="413">
        <v>143168.30000000002</v>
      </c>
      <c r="F40" s="400">
        <v>157.9845678128468</v>
      </c>
      <c r="G40" s="382"/>
      <c r="H40" s="380"/>
      <c r="I40" s="15"/>
    </row>
    <row r="41" spans="1:9" ht="11.25" customHeight="1">
      <c r="A41" s="389" t="s">
        <v>297</v>
      </c>
      <c r="B41" s="380"/>
      <c r="C41" s="413">
        <v>0</v>
      </c>
      <c r="D41" s="400">
        <v>0</v>
      </c>
      <c r="E41" s="413">
        <v>69503.8</v>
      </c>
      <c r="F41" s="400">
        <v>113.9722763359701</v>
      </c>
      <c r="G41" s="382"/>
      <c r="H41" s="380"/>
      <c r="I41" s="15"/>
    </row>
    <row r="42" spans="1:9" ht="11.25" customHeight="1">
      <c r="A42" s="389" t="s">
        <v>313</v>
      </c>
      <c r="B42" s="380"/>
      <c r="C42" s="413">
        <v>0</v>
      </c>
      <c r="D42" s="400">
        <v>0</v>
      </c>
      <c r="E42" s="413">
        <v>67243.5</v>
      </c>
      <c r="F42" s="400">
        <v>166.6340270806844</v>
      </c>
      <c r="G42" s="382"/>
      <c r="H42" s="380"/>
      <c r="I42" s="15"/>
    </row>
    <row r="43" spans="1:9" ht="11.25" customHeight="1">
      <c r="A43" s="389" t="s">
        <v>298</v>
      </c>
      <c r="B43" s="380"/>
      <c r="C43" s="413">
        <v>0</v>
      </c>
      <c r="D43" s="400">
        <v>0</v>
      </c>
      <c r="E43" s="413">
        <v>481840</v>
      </c>
      <c r="F43" s="400">
        <v>174.17599452100282</v>
      </c>
      <c r="G43" s="382"/>
      <c r="H43" s="380"/>
      <c r="I43" s="15"/>
    </row>
    <row r="44" spans="1:9" ht="11.25" customHeight="1">
      <c r="A44" s="389" t="s">
        <v>1219</v>
      </c>
      <c r="B44" s="380"/>
      <c r="C44" s="413">
        <v>0</v>
      </c>
      <c r="D44" s="400">
        <v>0</v>
      </c>
      <c r="E44" s="413">
        <v>21953.3</v>
      </c>
      <c r="F44" s="400">
        <v>203.63665143736932</v>
      </c>
      <c r="G44" s="382"/>
      <c r="H44" s="380"/>
      <c r="I44" s="15"/>
    </row>
    <row r="45" spans="1:9" ht="11.25" customHeight="1">
      <c r="A45" s="389" t="s">
        <v>299</v>
      </c>
      <c r="B45" s="380"/>
      <c r="C45" s="413">
        <v>0</v>
      </c>
      <c r="D45" s="400">
        <v>0</v>
      </c>
      <c r="E45" s="413">
        <v>73016.09999999999</v>
      </c>
      <c r="F45" s="400">
        <v>116.57502112547782</v>
      </c>
      <c r="G45" s="382"/>
      <c r="H45" s="380"/>
      <c r="I45" s="15"/>
    </row>
    <row r="46" spans="1:9" ht="11.25" customHeight="1">
      <c r="A46" s="389" t="s">
        <v>1220</v>
      </c>
      <c r="B46" s="380"/>
      <c r="C46" s="413">
        <v>0</v>
      </c>
      <c r="D46" s="400">
        <v>0</v>
      </c>
      <c r="E46" s="413">
        <v>17966.1</v>
      </c>
      <c r="F46" s="400">
        <v>108.66740694975537</v>
      </c>
      <c r="G46" s="382"/>
      <c r="H46" s="380"/>
      <c r="I46" s="15"/>
    </row>
    <row r="47" spans="1:9" ht="11.25" customHeight="1">
      <c r="A47" s="389" t="s">
        <v>300</v>
      </c>
      <c r="B47" s="380"/>
      <c r="C47" s="413">
        <v>0</v>
      </c>
      <c r="D47" s="400">
        <v>0</v>
      </c>
      <c r="E47" s="413">
        <v>73605.7</v>
      </c>
      <c r="F47" s="400">
        <v>118.1108596209261</v>
      </c>
      <c r="G47" s="382"/>
      <c r="H47" s="380"/>
      <c r="I47" s="15"/>
    </row>
    <row r="48" spans="1:9" ht="11.25" customHeight="1">
      <c r="A48" s="389" t="s">
        <v>301</v>
      </c>
      <c r="B48" s="380"/>
      <c r="C48" s="413">
        <v>0</v>
      </c>
      <c r="D48" s="400">
        <v>0</v>
      </c>
      <c r="E48" s="413">
        <v>640368.3</v>
      </c>
      <c r="F48" s="400">
        <v>208.36367181198693</v>
      </c>
      <c r="G48" s="382"/>
      <c r="H48" s="380"/>
      <c r="I48" s="15"/>
    </row>
    <row r="49" spans="1:9" ht="11.25" customHeight="1">
      <c r="A49" s="389" t="s">
        <v>302</v>
      </c>
      <c r="B49" s="380"/>
      <c r="C49" s="413">
        <v>0</v>
      </c>
      <c r="D49" s="400">
        <v>0</v>
      </c>
      <c r="E49" s="413">
        <v>166103.60000000003</v>
      </c>
      <c r="F49" s="400">
        <v>112.52301756253324</v>
      </c>
      <c r="G49" s="382"/>
      <c r="H49" s="380"/>
      <c r="I49" s="15"/>
    </row>
    <row r="50" spans="1:9" ht="11.25" customHeight="1">
      <c r="A50" s="389" t="s">
        <v>303</v>
      </c>
      <c r="B50" s="380"/>
      <c r="C50" s="413">
        <v>0</v>
      </c>
      <c r="D50" s="400">
        <v>0</v>
      </c>
      <c r="E50" s="413">
        <v>162516.40000000002</v>
      </c>
      <c r="F50" s="400">
        <v>127.02012843011535</v>
      </c>
      <c r="G50" s="382"/>
      <c r="H50" s="380"/>
      <c r="I50" s="15"/>
    </row>
    <row r="51" spans="1:9" ht="11.25" customHeight="1">
      <c r="A51" s="389" t="s">
        <v>314</v>
      </c>
      <c r="B51" s="380"/>
      <c r="C51" s="413">
        <v>0</v>
      </c>
      <c r="D51" s="400">
        <v>0</v>
      </c>
      <c r="E51" s="413">
        <v>58857.5</v>
      </c>
      <c r="F51" s="400">
        <v>168.37589771906724</v>
      </c>
      <c r="G51" s="382"/>
      <c r="H51" s="380"/>
      <c r="I51" s="15"/>
    </row>
    <row r="52" spans="1:9" ht="11.25" customHeight="1">
      <c r="A52" s="389" t="s">
        <v>1221</v>
      </c>
      <c r="B52" s="380"/>
      <c r="C52" s="501">
        <v>0</v>
      </c>
      <c r="D52" s="404">
        <v>0</v>
      </c>
      <c r="E52" s="501">
        <v>7951</v>
      </c>
      <c r="F52" s="404">
        <v>107.37240598666834</v>
      </c>
      <c r="G52" s="382"/>
      <c r="H52" s="380"/>
      <c r="I52" s="15"/>
    </row>
    <row r="53" spans="1:9" ht="11.25" customHeight="1">
      <c r="A53" s="389" t="s">
        <v>304</v>
      </c>
      <c r="B53" s="380"/>
      <c r="C53" s="501">
        <v>10980.5</v>
      </c>
      <c r="D53" s="404">
        <v>145.63298574746142</v>
      </c>
      <c r="E53" s="501">
        <v>5209628.499999999</v>
      </c>
      <c r="F53" s="404">
        <v>180.9004128413379</v>
      </c>
      <c r="G53" s="382"/>
      <c r="H53" s="380"/>
      <c r="I53" s="15"/>
    </row>
    <row r="54" spans="1:9" ht="11.25" customHeight="1">
      <c r="A54" s="392" t="s">
        <v>36</v>
      </c>
      <c r="B54" s="380"/>
      <c r="C54" s="413"/>
      <c r="D54" s="400"/>
      <c r="E54" s="413"/>
      <c r="F54" s="400"/>
      <c r="G54" s="382"/>
      <c r="H54" s="380"/>
      <c r="I54" s="15"/>
    </row>
    <row r="55" spans="1:9" ht="11.25" customHeight="1">
      <c r="A55" s="392" t="s">
        <v>1222</v>
      </c>
      <c r="B55" s="390"/>
      <c r="C55" s="393" t="s">
        <v>0</v>
      </c>
      <c r="D55" s="394" t="s">
        <v>1</v>
      </c>
      <c r="E55" s="393" t="s">
        <v>0</v>
      </c>
      <c r="F55" s="394" t="s">
        <v>1</v>
      </c>
      <c r="G55" s="382"/>
      <c r="H55" s="380"/>
      <c r="I55" s="15"/>
    </row>
    <row r="56" spans="1:9" ht="11.25" customHeight="1">
      <c r="A56" s="389" t="s">
        <v>1223</v>
      </c>
      <c r="B56" s="380"/>
      <c r="C56" s="413">
        <v>0</v>
      </c>
      <c r="D56" s="400">
        <v>0</v>
      </c>
      <c r="E56" s="413">
        <v>8487.2</v>
      </c>
      <c r="F56" s="400">
        <v>128.8821637289094</v>
      </c>
      <c r="G56" s="382"/>
      <c r="H56" s="380"/>
      <c r="I56" s="15"/>
    </row>
    <row r="57" spans="1:9" ht="11.25" customHeight="1">
      <c r="A57" s="389" t="s">
        <v>1224</v>
      </c>
      <c r="B57" s="380"/>
      <c r="C57" s="413">
        <v>0</v>
      </c>
      <c r="D57" s="400">
        <v>0</v>
      </c>
      <c r="E57" s="413">
        <v>11368.6</v>
      </c>
      <c r="F57" s="400">
        <v>145.43879633376142</v>
      </c>
      <c r="G57" s="382"/>
      <c r="H57" s="380"/>
      <c r="I57" s="15"/>
    </row>
    <row r="58" spans="1:9" ht="11.25" customHeight="1">
      <c r="A58" s="389" t="s">
        <v>1225</v>
      </c>
      <c r="B58" s="380"/>
      <c r="C58" s="413">
        <v>0</v>
      </c>
      <c r="D58" s="400">
        <v>0</v>
      </c>
      <c r="E58" s="501">
        <v>43406.5</v>
      </c>
      <c r="F58" s="404">
        <v>162.2808611613468</v>
      </c>
      <c r="G58" s="382"/>
      <c r="H58" s="380"/>
      <c r="I58" s="15"/>
    </row>
    <row r="59" spans="1:9" ht="11.25" customHeight="1">
      <c r="A59" s="389" t="s">
        <v>304</v>
      </c>
      <c r="B59" s="380"/>
      <c r="C59" s="501">
        <v>0</v>
      </c>
      <c r="D59" s="404">
        <v>0</v>
      </c>
      <c r="E59" s="501">
        <v>63262.3</v>
      </c>
      <c r="F59" s="404">
        <v>154.77351281885103</v>
      </c>
      <c r="G59" s="382"/>
      <c r="H59" s="380"/>
      <c r="I59" s="15"/>
    </row>
    <row r="60" spans="1:9" ht="11.25" customHeight="1">
      <c r="A60" s="389" t="s">
        <v>1226</v>
      </c>
      <c r="B60" s="380"/>
      <c r="C60" s="501">
        <v>10980.5</v>
      </c>
      <c r="D60" s="404">
        <v>145.63298574746142</v>
      </c>
      <c r="E60" s="501">
        <v>5272890.799999998</v>
      </c>
      <c r="F60" s="404">
        <v>180.58695143089255</v>
      </c>
      <c r="G60" s="382"/>
      <c r="H60" s="380"/>
      <c r="I60" s="15"/>
    </row>
    <row r="61" spans="1:9" ht="11.25" customHeight="1">
      <c r="A61" s="392" t="s">
        <v>1227</v>
      </c>
      <c r="B61" s="390"/>
      <c r="C61" s="393" t="s">
        <v>306</v>
      </c>
      <c r="D61" s="394" t="s">
        <v>307</v>
      </c>
      <c r="E61" s="393" t="s">
        <v>306</v>
      </c>
      <c r="F61" s="394" t="s">
        <v>307</v>
      </c>
      <c r="G61" s="382"/>
      <c r="H61" s="380"/>
      <c r="I61" s="15"/>
    </row>
    <row r="62" spans="1:9" ht="11.25" customHeight="1">
      <c r="A62" s="389" t="s">
        <v>287</v>
      </c>
      <c r="B62" s="380"/>
      <c r="C62" s="413">
        <v>0</v>
      </c>
      <c r="D62" s="400">
        <v>0</v>
      </c>
      <c r="E62" s="413">
        <v>138</v>
      </c>
      <c r="F62" s="400">
        <v>1310.144927536232</v>
      </c>
      <c r="G62" s="382"/>
      <c r="H62" s="380"/>
      <c r="I62" s="15"/>
    </row>
    <row r="63" spans="1:9" ht="11.25" customHeight="1">
      <c r="A63" s="389" t="s">
        <v>1218</v>
      </c>
      <c r="B63" s="380"/>
      <c r="C63" s="501">
        <v>0</v>
      </c>
      <c r="D63" s="404">
        <v>0</v>
      </c>
      <c r="E63" s="501">
        <v>12</v>
      </c>
      <c r="F63" s="404">
        <v>1212.5</v>
      </c>
      <c r="G63" s="382"/>
      <c r="H63" s="380"/>
      <c r="I63" s="15"/>
    </row>
    <row r="64" spans="1:9" ht="11.25" customHeight="1">
      <c r="A64" s="389" t="s">
        <v>304</v>
      </c>
      <c r="B64" s="380"/>
      <c r="C64" s="501">
        <v>0</v>
      </c>
      <c r="D64" s="404">
        <v>0</v>
      </c>
      <c r="E64" s="501">
        <v>150</v>
      </c>
      <c r="F64" s="404">
        <v>1302.3333333333333</v>
      </c>
      <c r="G64" s="382"/>
      <c r="H64" s="380"/>
      <c r="I64" s="15"/>
    </row>
    <row r="65" spans="1:9" ht="11.25" customHeight="1">
      <c r="A65" s="389" t="s">
        <v>1226</v>
      </c>
      <c r="B65" s="380"/>
      <c r="C65" s="501">
        <v>10980.5</v>
      </c>
      <c r="D65" s="404">
        <v>145.63298574746142</v>
      </c>
      <c r="E65" s="501">
        <v>5273539.999999998</v>
      </c>
      <c r="F65" s="404">
        <v>180.62411055951034</v>
      </c>
      <c r="G65" s="382"/>
      <c r="H65" s="380"/>
      <c r="I65" s="15"/>
    </row>
    <row r="66" spans="1:9" ht="11.25" customHeight="1">
      <c r="A66" s="392" t="s">
        <v>1228</v>
      </c>
      <c r="B66" s="380"/>
      <c r="C66" s="501" t="s">
        <v>0</v>
      </c>
      <c r="D66" s="404" t="s">
        <v>1</v>
      </c>
      <c r="E66" s="501" t="s">
        <v>0</v>
      </c>
      <c r="F66" s="404" t="s">
        <v>1</v>
      </c>
      <c r="G66" s="382"/>
      <c r="H66" s="380"/>
      <c r="I66" s="15"/>
    </row>
    <row r="67" spans="1:9" ht="11.25" customHeight="1">
      <c r="A67" s="389" t="s">
        <v>278</v>
      </c>
      <c r="B67" s="380"/>
      <c r="C67" s="413">
        <v>0</v>
      </c>
      <c r="D67" s="400">
        <v>0</v>
      </c>
      <c r="E67" s="413">
        <v>1183</v>
      </c>
      <c r="F67" s="400">
        <v>217.62890955198648</v>
      </c>
      <c r="G67" s="382"/>
      <c r="H67" s="380"/>
      <c r="I67" s="15"/>
    </row>
    <row r="68" spans="1:9" ht="11.25" customHeight="1">
      <c r="A68" s="389" t="s">
        <v>294</v>
      </c>
      <c r="B68" s="380"/>
      <c r="C68" s="413">
        <v>0</v>
      </c>
      <c r="D68" s="400">
        <v>0</v>
      </c>
      <c r="E68" s="501">
        <v>497</v>
      </c>
      <c r="F68" s="404">
        <v>115</v>
      </c>
      <c r="G68" s="382"/>
      <c r="H68" s="380"/>
      <c r="I68" s="15"/>
    </row>
    <row r="69" spans="1:9" ht="11.25" customHeight="1">
      <c r="A69" s="389" t="s">
        <v>304</v>
      </c>
      <c r="B69" s="380"/>
      <c r="C69" s="501">
        <v>0</v>
      </c>
      <c r="D69" s="404">
        <v>0</v>
      </c>
      <c r="E69" s="501">
        <v>1680</v>
      </c>
      <c r="F69" s="404">
        <v>187.26785714285714</v>
      </c>
      <c r="G69" s="382"/>
      <c r="H69" s="380"/>
      <c r="I69" s="15"/>
    </row>
    <row r="70" spans="1:9" ht="11.25" customHeight="1">
      <c r="A70" s="389" t="s">
        <v>308</v>
      </c>
      <c r="B70" s="380"/>
      <c r="C70" s="501">
        <v>10980.5</v>
      </c>
      <c r="D70" s="404">
        <v>145.63298574746142</v>
      </c>
      <c r="E70" s="501">
        <v>5274720.799999998</v>
      </c>
      <c r="F70" s="404">
        <v>180.6209789909639</v>
      </c>
      <c r="G70" s="382"/>
      <c r="H70" s="380"/>
      <c r="I70" s="15"/>
    </row>
    <row r="71" spans="1:9" ht="11.25" customHeight="1">
      <c r="A71" s="389"/>
      <c r="B71" s="380"/>
      <c r="C71" s="501" t="s">
        <v>1263</v>
      </c>
      <c r="D71" s="400"/>
      <c r="E71" s="550" t="s">
        <v>1264</v>
      </c>
      <c r="F71" s="400"/>
      <c r="H71" s="501"/>
      <c r="I71" s="15"/>
    </row>
    <row r="72" spans="1:9" ht="11.25" customHeight="1">
      <c r="A72" s="392" t="s">
        <v>40</v>
      </c>
      <c r="B72" s="390" t="s">
        <v>41</v>
      </c>
      <c r="C72" s="393" t="s">
        <v>0</v>
      </c>
      <c r="D72" s="394" t="s">
        <v>164</v>
      </c>
      <c r="E72" s="393" t="s">
        <v>41</v>
      </c>
      <c r="F72" s="394" t="s">
        <v>0</v>
      </c>
      <c r="G72" s="502" t="s">
        <v>164</v>
      </c>
      <c r="H72" s="503" t="s">
        <v>2</v>
      </c>
      <c r="I72" s="15"/>
    </row>
    <row r="73" spans="1:9" ht="11.25" customHeight="1">
      <c r="A73" s="389" t="s">
        <v>42</v>
      </c>
      <c r="B73" s="499">
        <v>0</v>
      </c>
      <c r="C73" s="429">
        <v>0</v>
      </c>
      <c r="D73" s="416">
        <v>0</v>
      </c>
      <c r="E73" s="428">
        <v>5</v>
      </c>
      <c r="F73" s="415">
        <v>249.5</v>
      </c>
      <c r="G73" s="498">
        <v>210</v>
      </c>
      <c r="H73" s="500">
        <v>4.7301081793751066E-05</v>
      </c>
      <c r="I73" s="15"/>
    </row>
    <row r="74" spans="1:9" ht="11.25" customHeight="1">
      <c r="A74" s="389" t="s">
        <v>43</v>
      </c>
      <c r="B74" s="504">
        <v>220</v>
      </c>
      <c r="C74" s="505">
        <v>10980.5</v>
      </c>
      <c r="D74" s="411">
        <v>145.63298574746142</v>
      </c>
      <c r="E74" s="506">
        <v>105758</v>
      </c>
      <c r="F74" s="410">
        <v>5274471.299999999</v>
      </c>
      <c r="G74" s="507">
        <v>180.6195892657526</v>
      </c>
      <c r="H74" s="508">
        <v>0.9999526989182063</v>
      </c>
      <c r="I74" s="15"/>
    </row>
    <row r="75" spans="1:9" ht="11.25" customHeight="1">
      <c r="A75" s="389" t="s">
        <v>44</v>
      </c>
      <c r="B75" s="504">
        <v>220</v>
      </c>
      <c r="C75" s="505">
        <v>10980.5</v>
      </c>
      <c r="D75" s="411">
        <v>145.63298574746142</v>
      </c>
      <c r="E75" s="506">
        <v>105763</v>
      </c>
      <c r="F75" s="410">
        <v>5274720.799999999</v>
      </c>
      <c r="G75" s="507">
        <v>180.62097899096386</v>
      </c>
      <c r="H75" s="508">
        <v>1</v>
      </c>
      <c r="I75" s="15"/>
    </row>
    <row r="76" spans="1:9" ht="11.25" customHeight="1">
      <c r="A76" s="392"/>
      <c r="B76" s="380"/>
      <c r="C76" s="393"/>
      <c r="D76" s="394"/>
      <c r="E76" s="393"/>
      <c r="F76" s="394"/>
      <c r="G76" s="382"/>
      <c r="H76" s="380"/>
      <c r="I76" s="15"/>
    </row>
    <row r="77" spans="1:9" ht="11.25" customHeight="1">
      <c r="A77" s="395"/>
      <c r="B77" s="396"/>
      <c r="C77" s="397"/>
      <c r="D77" s="398"/>
      <c r="E77" s="399"/>
      <c r="F77" s="400"/>
      <c r="G77" s="444"/>
      <c r="H77" s="396"/>
      <c r="I77" s="15"/>
    </row>
    <row r="78" spans="1:9" ht="11.25" customHeight="1">
      <c r="A78" s="395"/>
      <c r="B78" s="396"/>
      <c r="C78" s="397"/>
      <c r="D78" s="398"/>
      <c r="E78" s="399"/>
      <c r="F78" s="400"/>
      <c r="G78" s="444"/>
      <c r="H78" s="396"/>
      <c r="I78" s="15"/>
    </row>
    <row r="79" spans="1:9" ht="11.25" customHeight="1">
      <c r="A79" s="395"/>
      <c r="B79" s="396"/>
      <c r="C79" s="397"/>
      <c r="D79" s="398"/>
      <c r="E79" s="399"/>
      <c r="F79" s="400"/>
      <c r="G79" s="444"/>
      <c r="H79" s="396"/>
      <c r="I79" s="15"/>
    </row>
    <row r="80" spans="1:9" ht="11.25" customHeight="1">
      <c r="A80" s="395"/>
      <c r="B80" s="396"/>
      <c r="C80" s="397"/>
      <c r="D80" s="398"/>
      <c r="E80" s="399"/>
      <c r="F80" s="400"/>
      <c r="G80" s="444"/>
      <c r="H80" s="396"/>
      <c r="I80" s="15"/>
    </row>
    <row r="81" spans="1:9" ht="11.25" customHeight="1">
      <c r="A81" s="395"/>
      <c r="B81" s="396"/>
      <c r="C81" s="397"/>
      <c r="D81" s="398"/>
      <c r="E81" s="399"/>
      <c r="F81" s="400"/>
      <c r="G81" s="444"/>
      <c r="H81" s="396"/>
      <c r="I81" s="15"/>
    </row>
    <row r="82" spans="1:9" ht="11.25" customHeight="1">
      <c r="A82" s="395"/>
      <c r="B82" s="396"/>
      <c r="C82" s="397"/>
      <c r="D82" s="398"/>
      <c r="E82" s="399"/>
      <c r="F82" s="400"/>
      <c r="G82" s="444"/>
      <c r="H82" s="396"/>
      <c r="I82" s="15"/>
    </row>
    <row r="83" spans="1:9" ht="11.25" customHeight="1">
      <c r="A83" s="395"/>
      <c r="B83" s="396"/>
      <c r="C83" s="397"/>
      <c r="D83" s="398"/>
      <c r="E83" s="399"/>
      <c r="F83" s="400"/>
      <c r="G83" s="444"/>
      <c r="H83" s="396"/>
      <c r="I83" s="15"/>
    </row>
    <row r="84" spans="1:9" ht="11.25" customHeight="1">
      <c r="A84" s="395"/>
      <c r="B84" s="396"/>
      <c r="C84" s="397"/>
      <c r="D84" s="398"/>
      <c r="E84" s="399"/>
      <c r="F84" s="400"/>
      <c r="G84" s="444"/>
      <c r="H84" s="396"/>
      <c r="I84" s="15"/>
    </row>
    <row r="85" spans="1:9" ht="11.25" customHeight="1">
      <c r="A85" s="395"/>
      <c r="B85" s="396"/>
      <c r="C85" s="397"/>
      <c r="D85" s="398"/>
      <c r="E85" s="399"/>
      <c r="F85" s="400"/>
      <c r="G85" s="444"/>
      <c r="H85" s="396"/>
      <c r="I85" s="15"/>
    </row>
    <row r="86" spans="1:9" ht="11.25" customHeight="1">
      <c r="A86" s="395"/>
      <c r="B86" s="396"/>
      <c r="C86" s="397"/>
      <c r="D86" s="398"/>
      <c r="E86" s="399"/>
      <c r="F86" s="400"/>
      <c r="G86" s="444"/>
      <c r="H86" s="396"/>
      <c r="I86" s="15"/>
    </row>
    <row r="87" spans="1:9" ht="11.25" customHeight="1">
      <c r="A87" s="395"/>
      <c r="B87" s="396"/>
      <c r="C87" s="397"/>
      <c r="D87" s="398"/>
      <c r="E87" s="399"/>
      <c r="F87" s="400"/>
      <c r="G87" s="444"/>
      <c r="H87" s="396"/>
      <c r="I87" s="15"/>
    </row>
    <row r="88" spans="1:9" ht="11.25" customHeight="1">
      <c r="A88" s="395"/>
      <c r="B88" s="396"/>
      <c r="C88" s="397"/>
      <c r="D88" s="398"/>
      <c r="E88" s="399"/>
      <c r="F88" s="400"/>
      <c r="G88" s="444"/>
      <c r="H88" s="396"/>
      <c r="I88" s="15"/>
    </row>
    <row r="89" spans="1:9" ht="11.25" customHeight="1">
      <c r="A89" s="395"/>
      <c r="B89" s="396"/>
      <c r="C89" s="397"/>
      <c r="D89" s="398"/>
      <c r="E89" s="399"/>
      <c r="F89" s="400"/>
      <c r="G89" s="444"/>
      <c r="H89" s="396"/>
      <c r="I89" s="15"/>
    </row>
    <row r="90" spans="1:9" ht="11.25" customHeight="1">
      <c r="A90" s="395"/>
      <c r="B90" s="396"/>
      <c r="C90" s="397"/>
      <c r="D90" s="398"/>
      <c r="E90" s="399"/>
      <c r="F90" s="400"/>
      <c r="G90" s="444"/>
      <c r="H90" s="396"/>
      <c r="I90" s="15"/>
    </row>
    <row r="91" spans="1:9" ht="11.25" customHeight="1">
      <c r="A91" s="395"/>
      <c r="B91" s="396"/>
      <c r="C91" s="397"/>
      <c r="D91" s="398"/>
      <c r="E91" s="399"/>
      <c r="F91" s="400"/>
      <c r="G91" s="444"/>
      <c r="H91" s="396"/>
      <c r="I91" s="15"/>
    </row>
    <row r="92" spans="1:9" ht="11.25" customHeight="1">
      <c r="A92" s="395"/>
      <c r="B92" s="396"/>
      <c r="C92" s="397"/>
      <c r="D92" s="398"/>
      <c r="E92" s="399"/>
      <c r="F92" s="400"/>
      <c r="G92" s="444"/>
      <c r="H92" s="396"/>
      <c r="I92" s="15"/>
    </row>
    <row r="93" spans="1:9" ht="11.25" customHeight="1">
      <c r="A93" s="395"/>
      <c r="B93" s="396"/>
      <c r="C93" s="397"/>
      <c r="D93" s="398"/>
      <c r="E93" s="399"/>
      <c r="F93" s="400"/>
      <c r="G93" s="444"/>
      <c r="H93" s="396"/>
      <c r="I93" s="15"/>
    </row>
    <row r="94" spans="1:9" ht="11.25" customHeight="1">
      <c r="A94" s="395"/>
      <c r="B94" s="396"/>
      <c r="C94" s="397"/>
      <c r="D94" s="398"/>
      <c r="E94" s="399"/>
      <c r="F94" s="400"/>
      <c r="G94" s="444"/>
      <c r="H94" s="396"/>
      <c r="I94" s="15"/>
    </row>
    <row r="95" spans="1:9" ht="11.25" customHeight="1">
      <c r="A95" s="395"/>
      <c r="B95" s="396"/>
      <c r="C95" s="397"/>
      <c r="D95" s="398"/>
      <c r="E95" s="399"/>
      <c r="F95" s="400"/>
      <c r="G95" s="444"/>
      <c r="H95" s="396"/>
      <c r="I95" s="15"/>
    </row>
    <row r="96" spans="1:9" ht="11.25" customHeight="1">
      <c r="A96" s="395"/>
      <c r="B96" s="396"/>
      <c r="C96" s="397"/>
      <c r="D96" s="398"/>
      <c r="E96" s="399"/>
      <c r="F96" s="400"/>
      <c r="G96" s="444"/>
      <c r="H96" s="396"/>
      <c r="I96" s="15"/>
    </row>
    <row r="97" spans="1:9" ht="11.25" customHeight="1">
      <c r="A97" s="395"/>
      <c r="B97" s="396"/>
      <c r="C97" s="397"/>
      <c r="D97" s="398"/>
      <c r="E97" s="399"/>
      <c r="F97" s="400"/>
      <c r="G97" s="444"/>
      <c r="H97" s="396"/>
      <c r="I97" s="15"/>
    </row>
    <row r="98" spans="1:9" ht="11.25" customHeight="1">
      <c r="A98" s="395"/>
      <c r="B98" s="396"/>
      <c r="C98" s="397"/>
      <c r="D98" s="398"/>
      <c r="E98" s="399"/>
      <c r="F98" s="400"/>
      <c r="G98" s="444"/>
      <c r="H98" s="396"/>
      <c r="I98" s="15"/>
    </row>
    <row r="99" spans="1:9" ht="11.25" customHeight="1">
      <c r="A99" s="395"/>
      <c r="B99" s="396"/>
      <c r="C99" s="397"/>
      <c r="D99" s="398"/>
      <c r="E99" s="399"/>
      <c r="F99" s="400"/>
      <c r="G99" s="444"/>
      <c r="H99" s="396"/>
      <c r="I99" s="15"/>
    </row>
    <row r="100" spans="1:9" ht="11.25" customHeight="1">
      <c r="A100" s="395"/>
      <c r="B100" s="396"/>
      <c r="C100" s="397"/>
      <c r="D100" s="398"/>
      <c r="E100" s="399"/>
      <c r="F100" s="400"/>
      <c r="G100" s="444"/>
      <c r="H100" s="396"/>
      <c r="I100" s="15"/>
    </row>
    <row r="101" spans="1:9" ht="11.25" customHeight="1">
      <c r="A101" s="395"/>
      <c r="B101" s="396"/>
      <c r="C101" s="397"/>
      <c r="D101" s="398"/>
      <c r="E101" s="399"/>
      <c r="F101" s="400"/>
      <c r="G101" s="444"/>
      <c r="H101" s="396"/>
      <c r="I101" s="15"/>
    </row>
    <row r="102" spans="1:9" ht="11.25" customHeight="1">
      <c r="A102" s="395"/>
      <c r="B102" s="396"/>
      <c r="C102" s="397"/>
      <c r="D102" s="398"/>
      <c r="E102" s="399"/>
      <c r="F102" s="400"/>
      <c r="G102" s="444"/>
      <c r="H102" s="396"/>
      <c r="I102" s="15"/>
    </row>
    <row r="103" spans="1:9" ht="11.25" customHeight="1">
      <c r="A103" s="395"/>
      <c r="B103" s="396"/>
      <c r="C103" s="397"/>
      <c r="D103" s="398"/>
      <c r="E103" s="399"/>
      <c r="F103" s="400"/>
      <c r="G103" s="444"/>
      <c r="H103" s="396"/>
      <c r="I103" s="15"/>
    </row>
    <row r="104" spans="1:9" ht="11.25" customHeight="1">
      <c r="A104" s="395"/>
      <c r="B104" s="396"/>
      <c r="C104" s="397"/>
      <c r="D104" s="398"/>
      <c r="E104" s="399"/>
      <c r="F104" s="400"/>
      <c r="G104" s="444"/>
      <c r="H104" s="396"/>
      <c r="I104" s="15"/>
    </row>
    <row r="105" spans="1:9" ht="11.25" customHeight="1">
      <c r="A105" s="395"/>
      <c r="B105" s="396"/>
      <c r="C105" s="397"/>
      <c r="D105" s="398"/>
      <c r="E105" s="399"/>
      <c r="F105" s="400"/>
      <c r="G105" s="444"/>
      <c r="H105" s="396"/>
      <c r="I105" s="15"/>
    </row>
    <row r="106" spans="1:9" ht="11.25" customHeight="1">
      <c r="A106" s="395"/>
      <c r="B106" s="396"/>
      <c r="C106" s="397"/>
      <c r="D106" s="398"/>
      <c r="E106" s="399"/>
      <c r="F106" s="400"/>
      <c r="G106" s="444"/>
      <c r="H106" s="396"/>
      <c r="I106" s="15"/>
    </row>
    <row r="107" spans="1:9" ht="11.25" customHeight="1">
      <c r="A107" s="395"/>
      <c r="B107" s="396"/>
      <c r="C107" s="397"/>
      <c r="D107" s="398"/>
      <c r="E107" s="399"/>
      <c r="F107" s="400"/>
      <c r="G107" s="444"/>
      <c r="H107" s="396"/>
      <c r="I107" s="15"/>
    </row>
    <row r="108" spans="1:9" ht="11.25" customHeight="1">
      <c r="A108" s="395"/>
      <c r="B108" s="396"/>
      <c r="C108" s="397"/>
      <c r="D108" s="398"/>
      <c r="E108" s="399"/>
      <c r="F108" s="400"/>
      <c r="G108" s="444"/>
      <c r="H108" s="396"/>
      <c r="I108" s="15"/>
    </row>
    <row r="109" spans="1:9" ht="11.25" customHeight="1">
      <c r="A109" s="395"/>
      <c r="B109" s="396"/>
      <c r="C109" s="397"/>
      <c r="D109" s="398"/>
      <c r="E109" s="399"/>
      <c r="F109" s="400"/>
      <c r="G109" s="444"/>
      <c r="H109" s="396"/>
      <c r="I109" s="15"/>
    </row>
    <row r="110" spans="1:9" ht="11.25" customHeight="1">
      <c r="A110" s="395"/>
      <c r="B110" s="396"/>
      <c r="C110" s="397"/>
      <c r="D110" s="398"/>
      <c r="E110" s="399"/>
      <c r="F110" s="400"/>
      <c r="G110" s="444"/>
      <c r="H110" s="396"/>
      <c r="I110" s="15"/>
    </row>
    <row r="111" spans="1:9" ht="11.25" customHeight="1">
      <c r="A111" s="395"/>
      <c r="B111" s="396"/>
      <c r="C111" s="397"/>
      <c r="D111" s="398"/>
      <c r="E111" s="399"/>
      <c r="F111" s="400"/>
      <c r="G111" s="444"/>
      <c r="H111" s="396"/>
      <c r="I111" s="15"/>
    </row>
    <row r="112" spans="1:9" ht="11.25" customHeight="1">
      <c r="A112" s="395"/>
      <c r="B112" s="396"/>
      <c r="C112" s="397"/>
      <c r="D112" s="398"/>
      <c r="E112" s="399"/>
      <c r="F112" s="400"/>
      <c r="G112" s="444"/>
      <c r="H112" s="396"/>
      <c r="I112" s="15"/>
    </row>
    <row r="113" spans="1:9" ht="11.25" customHeight="1">
      <c r="A113" s="395"/>
      <c r="B113" s="396"/>
      <c r="C113" s="397"/>
      <c r="D113" s="398"/>
      <c r="E113" s="399"/>
      <c r="F113" s="400"/>
      <c r="G113" s="444"/>
      <c r="H113" s="396"/>
      <c r="I113" s="15"/>
    </row>
    <row r="114" spans="1:9" ht="11.25" customHeight="1">
      <c r="A114" s="395"/>
      <c r="B114" s="396"/>
      <c r="C114" s="397"/>
      <c r="D114" s="398"/>
      <c r="E114" s="399"/>
      <c r="F114" s="400"/>
      <c r="G114" s="444"/>
      <c r="H114" s="396"/>
      <c r="I114" s="15"/>
    </row>
    <row r="115" spans="1:9" ht="11.25" customHeight="1">
      <c r="A115" s="395"/>
      <c r="B115" s="396"/>
      <c r="C115" s="397"/>
      <c r="D115" s="398"/>
      <c r="E115" s="399"/>
      <c r="F115" s="400"/>
      <c r="G115" s="444"/>
      <c r="H115" s="396"/>
      <c r="I115" s="15"/>
    </row>
    <row r="116" spans="1:9" ht="11.25" customHeight="1">
      <c r="A116" s="395"/>
      <c r="B116" s="396"/>
      <c r="C116" s="397"/>
      <c r="D116" s="398"/>
      <c r="E116" s="399"/>
      <c r="F116" s="400"/>
      <c r="G116" s="444"/>
      <c r="H116" s="396"/>
      <c r="I116" s="15"/>
    </row>
    <row r="117" spans="1:9" ht="11.25" customHeight="1">
      <c r="A117" s="395"/>
      <c r="B117" s="396"/>
      <c r="C117" s="397"/>
      <c r="D117" s="398"/>
      <c r="E117" s="399"/>
      <c r="F117" s="400"/>
      <c r="G117" s="444"/>
      <c r="H117" s="396"/>
      <c r="I117" s="15"/>
    </row>
    <row r="118" spans="1:9" ht="11.25" customHeight="1">
      <c r="A118" s="395"/>
      <c r="B118" s="396"/>
      <c r="C118" s="397"/>
      <c r="D118" s="398"/>
      <c r="E118" s="397"/>
      <c r="F118" s="400"/>
      <c r="G118" s="444"/>
      <c r="H118" s="396"/>
      <c r="I118" s="15"/>
    </row>
    <row r="119" spans="1:9" ht="11.25" customHeight="1">
      <c r="A119" s="395"/>
      <c r="B119" s="406"/>
      <c r="C119" s="397"/>
      <c r="D119" s="398"/>
      <c r="E119" s="399"/>
      <c r="F119" s="400"/>
      <c r="G119" s="444"/>
      <c r="H119" s="396"/>
      <c r="I119" s="15"/>
    </row>
    <row r="120" spans="1:9" ht="11.25" customHeight="1">
      <c r="A120" s="395"/>
      <c r="B120" s="406"/>
      <c r="C120" s="407"/>
      <c r="D120" s="408"/>
      <c r="E120" s="409"/>
      <c r="F120" s="394"/>
      <c r="G120" s="444"/>
      <c r="H120" s="396"/>
      <c r="I120" s="15"/>
    </row>
    <row r="121" spans="1:9" ht="11.25" customHeight="1">
      <c r="A121" s="395"/>
      <c r="B121" s="406"/>
      <c r="C121" s="407"/>
      <c r="D121" s="408"/>
      <c r="E121" s="409"/>
      <c r="F121" s="394"/>
      <c r="G121" s="444"/>
      <c r="H121" s="396"/>
      <c r="I121" s="15"/>
    </row>
    <row r="122" spans="1:9" ht="11.25" customHeight="1">
      <c r="A122" s="405"/>
      <c r="B122" s="406"/>
      <c r="C122" s="407"/>
      <c r="D122" s="408"/>
      <c r="E122" s="409"/>
      <c r="F122" s="394"/>
      <c r="G122" s="444"/>
      <c r="H122" s="396"/>
      <c r="I122" s="15"/>
    </row>
    <row r="123" spans="1:9" ht="11.25" customHeight="1">
      <c r="A123" s="405"/>
      <c r="B123" s="406"/>
      <c r="C123" s="407"/>
      <c r="D123" s="408"/>
      <c r="E123" s="409"/>
      <c r="F123" s="394"/>
      <c r="G123" s="444"/>
      <c r="H123" s="396"/>
      <c r="I123" s="15"/>
    </row>
    <row r="124" spans="1:9" ht="11.25" customHeight="1">
      <c r="A124" s="395"/>
      <c r="B124" s="396"/>
      <c r="C124" s="397"/>
      <c r="D124" s="398"/>
      <c r="E124" s="399"/>
      <c r="F124" s="400"/>
      <c r="G124" s="444"/>
      <c r="H124" s="396"/>
      <c r="I124" s="15"/>
    </row>
    <row r="125" spans="1:9" ht="11.25" customHeight="1">
      <c r="A125" s="395"/>
      <c r="B125" s="396"/>
      <c r="C125" s="397"/>
      <c r="D125" s="398"/>
      <c r="E125" s="399"/>
      <c r="F125" s="400"/>
      <c r="G125" s="444"/>
      <c r="H125" s="396"/>
      <c r="I125" s="15"/>
    </row>
    <row r="126" spans="1:9" ht="11.25" customHeight="1">
      <c r="A126" s="395"/>
      <c r="B126" s="406"/>
      <c r="C126" s="397"/>
      <c r="D126" s="398"/>
      <c r="E126" s="409"/>
      <c r="F126" s="394"/>
      <c r="G126" s="444"/>
      <c r="H126" s="396"/>
      <c r="I126" s="15"/>
    </row>
    <row r="127" spans="1:9" ht="11.25" customHeight="1">
      <c r="A127" s="395"/>
      <c r="B127" s="406"/>
      <c r="C127" s="407"/>
      <c r="D127" s="408"/>
      <c r="E127" s="409"/>
      <c r="F127" s="394"/>
      <c r="G127" s="444"/>
      <c r="H127" s="396"/>
      <c r="I127" s="15"/>
    </row>
    <row r="128" spans="1:9" ht="11.25" customHeight="1">
      <c r="A128" s="405"/>
      <c r="B128" s="396"/>
      <c r="C128" s="401"/>
      <c r="D128" s="402"/>
      <c r="E128" s="403"/>
      <c r="F128" s="404"/>
      <c r="G128" s="444"/>
      <c r="H128" s="396"/>
      <c r="I128" s="15"/>
    </row>
    <row r="129" spans="1:9" ht="11.25" customHeight="1">
      <c r="A129" s="405"/>
      <c r="B129" s="406"/>
      <c r="C129" s="407"/>
      <c r="D129" s="408"/>
      <c r="E129" s="409"/>
      <c r="F129" s="394"/>
      <c r="G129" s="444"/>
      <c r="H129" s="396"/>
      <c r="I129" s="15"/>
    </row>
    <row r="130" spans="1:9" ht="11.25" customHeight="1">
      <c r="A130" s="395"/>
      <c r="B130" s="406"/>
      <c r="C130" s="397"/>
      <c r="D130" s="398"/>
      <c r="E130" s="399"/>
      <c r="F130" s="400"/>
      <c r="G130" s="444"/>
      <c r="H130" s="399"/>
      <c r="I130" s="15"/>
    </row>
    <row r="131" spans="1:9" ht="11.25" customHeight="1">
      <c r="A131" s="395"/>
      <c r="B131" s="441"/>
      <c r="C131" s="399"/>
      <c r="D131" s="400"/>
      <c r="E131" s="403"/>
      <c r="F131" s="404"/>
      <c r="G131" s="414"/>
      <c r="H131" s="399"/>
      <c r="I131" s="15"/>
    </row>
    <row r="132" spans="1:9" ht="11.25" customHeight="1">
      <c r="A132" s="395"/>
      <c r="B132" s="441"/>
      <c r="C132" s="409"/>
      <c r="D132" s="394"/>
      <c r="E132" s="409"/>
      <c r="F132" s="394"/>
      <c r="G132" s="414"/>
      <c r="H132" s="399"/>
      <c r="I132" s="15"/>
    </row>
    <row r="133" spans="1:9" ht="11.25" customHeight="1">
      <c r="A133" s="405"/>
      <c r="B133" s="441"/>
      <c r="C133" s="409"/>
      <c r="D133" s="394"/>
      <c r="E133" s="451"/>
      <c r="F133" s="425"/>
      <c r="G133" s="396"/>
      <c r="H133" s="414"/>
      <c r="I133" s="15"/>
    </row>
    <row r="134" spans="1:9" ht="11.25" customHeight="1">
      <c r="A134" s="405"/>
      <c r="B134" s="441"/>
      <c r="C134" s="409"/>
      <c r="D134" s="394"/>
      <c r="E134" s="424"/>
      <c r="F134" s="425"/>
      <c r="G134" s="414"/>
      <c r="H134" s="399"/>
      <c r="I134" s="15"/>
    </row>
    <row r="135" spans="1:9" ht="11.25" customHeight="1">
      <c r="A135" s="454"/>
      <c r="B135" s="481"/>
      <c r="C135" s="482"/>
      <c r="D135" s="483"/>
      <c r="E135" s="484"/>
      <c r="F135" s="485"/>
      <c r="G135" s="445"/>
      <c r="H135" s="442"/>
      <c r="I135" s="15"/>
    </row>
    <row r="136" spans="1:9" ht="11.25" customHeight="1">
      <c r="A136" s="454"/>
      <c r="B136" s="443"/>
      <c r="C136" s="482"/>
      <c r="D136" s="483"/>
      <c r="E136" s="452"/>
      <c r="F136" s="453"/>
      <c r="G136" s="446"/>
      <c r="H136" s="447"/>
      <c r="I136" s="15"/>
    </row>
    <row r="137" spans="1:9" ht="11.25" customHeight="1">
      <c r="A137" s="395"/>
      <c r="B137" s="442"/>
      <c r="C137" s="403"/>
      <c r="D137" s="404"/>
      <c r="E137" s="486"/>
      <c r="F137" s="471"/>
      <c r="G137" s="56"/>
      <c r="H137" s="448"/>
      <c r="I137" s="15"/>
    </row>
    <row r="138" spans="1:9" ht="11.25" customHeight="1">
      <c r="A138" s="434"/>
      <c r="B138" s="455"/>
      <c r="C138" s="456"/>
      <c r="D138" s="457"/>
      <c r="E138" s="455"/>
      <c r="F138" s="487"/>
      <c r="G138" s="457"/>
      <c r="H138" s="458"/>
      <c r="I138" s="15"/>
    </row>
    <row r="139" spans="1:9" ht="11.25" customHeight="1">
      <c r="A139" s="434"/>
      <c r="B139" s="462"/>
      <c r="C139" s="492"/>
      <c r="D139" s="460"/>
      <c r="E139" s="493"/>
      <c r="F139" s="461"/>
      <c r="G139" s="449"/>
      <c r="H139" s="450"/>
      <c r="I139" s="15"/>
    </row>
    <row r="140" spans="1:9" ht="11.25" customHeight="1">
      <c r="A140" s="395"/>
      <c r="B140" s="494"/>
      <c r="C140" s="473"/>
      <c r="D140" s="495"/>
      <c r="E140" s="494"/>
      <c r="F140" s="473"/>
      <c r="G140" s="496"/>
      <c r="H140" s="497"/>
      <c r="I140" s="15"/>
    </row>
    <row r="141" spans="1:9" ht="11.25" customHeight="1">
      <c r="A141" s="395"/>
      <c r="B141" s="488"/>
      <c r="C141" s="489"/>
      <c r="D141" s="490"/>
      <c r="E141" s="419"/>
      <c r="F141" s="415"/>
      <c r="G141" s="444"/>
      <c r="H141" s="491"/>
      <c r="I141" s="15"/>
    </row>
    <row r="142" spans="1:9" ht="11.25" customHeight="1">
      <c r="A142" s="395"/>
      <c r="B142" s="406"/>
      <c r="C142" s="463"/>
      <c r="D142" s="408"/>
      <c r="E142" s="409"/>
      <c r="F142" s="424"/>
      <c r="G142" s="459"/>
      <c r="H142" s="472"/>
      <c r="I142" s="15"/>
    </row>
    <row r="143" spans="1:9" ht="11.25" customHeight="1">
      <c r="A143" s="395"/>
      <c r="B143" s="406"/>
      <c r="C143" s="463"/>
      <c r="D143" s="408"/>
      <c r="E143" s="409"/>
      <c r="F143" s="424"/>
      <c r="G143" s="459"/>
      <c r="H143" s="472"/>
      <c r="I143" s="15"/>
    </row>
    <row r="144" spans="1:9" ht="11.25" customHeight="1">
      <c r="A144" s="395"/>
      <c r="B144" s="396"/>
      <c r="C144" s="397"/>
      <c r="D144" s="398"/>
      <c r="E144" s="399"/>
      <c r="F144" s="400"/>
      <c r="G144" s="382"/>
      <c r="H144" s="380"/>
      <c r="I144" s="15"/>
    </row>
    <row r="145" spans="1:9" ht="11.25" customHeight="1">
      <c r="A145" s="395"/>
      <c r="B145" s="396"/>
      <c r="C145" s="397"/>
      <c r="D145" s="398"/>
      <c r="E145" s="399"/>
      <c r="F145" s="400"/>
      <c r="G145" s="382"/>
      <c r="H145" s="380"/>
      <c r="I145" s="15"/>
    </row>
    <row r="146" spans="1:9" ht="11.25" customHeight="1">
      <c r="A146" s="395"/>
      <c r="B146" s="396"/>
      <c r="C146" s="397"/>
      <c r="D146" s="398"/>
      <c r="E146" s="399"/>
      <c r="F146" s="400"/>
      <c r="G146" s="382"/>
      <c r="H146" s="380"/>
      <c r="I146" s="15"/>
    </row>
    <row r="147" spans="1:9" ht="11.25" customHeight="1">
      <c r="A147" s="395"/>
      <c r="B147" s="396"/>
      <c r="C147" s="397"/>
      <c r="D147" s="398"/>
      <c r="E147" s="399"/>
      <c r="F147" s="400"/>
      <c r="G147" s="382"/>
      <c r="H147" s="380"/>
      <c r="I147" s="15"/>
    </row>
    <row r="148" spans="1:9" ht="11.25" customHeight="1">
      <c r="A148" s="395"/>
      <c r="B148" s="396"/>
      <c r="C148" s="397"/>
      <c r="D148" s="398"/>
      <c r="E148" s="399"/>
      <c r="F148" s="400"/>
      <c r="G148" s="382"/>
      <c r="H148" s="380"/>
      <c r="I148" s="15"/>
    </row>
    <row r="149" spans="1:9" ht="11.25" customHeight="1">
      <c r="A149" s="395"/>
      <c r="B149" s="396"/>
      <c r="C149" s="397"/>
      <c r="D149" s="398"/>
      <c r="E149" s="399"/>
      <c r="F149" s="400"/>
      <c r="G149" s="382"/>
      <c r="H149" s="380"/>
      <c r="I149" s="15"/>
    </row>
    <row r="150" spans="1:9" ht="11.25" customHeight="1">
      <c r="A150" s="395"/>
      <c r="B150" s="396"/>
      <c r="C150" s="397"/>
      <c r="D150" s="398"/>
      <c r="E150" s="399"/>
      <c r="F150" s="400"/>
      <c r="G150" s="382"/>
      <c r="H150" s="380"/>
      <c r="I150" s="15"/>
    </row>
    <row r="151" spans="1:9" ht="11.25" customHeight="1">
      <c r="A151" s="395"/>
      <c r="B151" s="396"/>
      <c r="C151" s="397"/>
      <c r="D151" s="398"/>
      <c r="E151" s="399"/>
      <c r="F151" s="400"/>
      <c r="G151" s="382"/>
      <c r="H151" s="380"/>
      <c r="I151" s="15"/>
    </row>
    <row r="152" spans="1:9" ht="11.25" customHeight="1">
      <c r="A152" s="395"/>
      <c r="B152" s="396"/>
      <c r="C152" s="397"/>
      <c r="D152" s="398"/>
      <c r="E152" s="399"/>
      <c r="F152" s="400"/>
      <c r="G152" s="382"/>
      <c r="H152" s="380"/>
      <c r="I152" s="15"/>
    </row>
    <row r="153" spans="1:9" ht="11.25" customHeight="1">
      <c r="A153" s="395"/>
      <c r="B153" s="396"/>
      <c r="C153" s="397"/>
      <c r="D153" s="398"/>
      <c r="E153" s="399"/>
      <c r="F153" s="400"/>
      <c r="G153" s="382"/>
      <c r="H153" s="380"/>
      <c r="I153" s="15"/>
    </row>
    <row r="154" spans="1:9" ht="11.25" customHeight="1">
      <c r="A154" s="395"/>
      <c r="B154" s="396"/>
      <c r="C154" s="397"/>
      <c r="D154" s="398"/>
      <c r="E154" s="399"/>
      <c r="F154" s="400"/>
      <c r="G154" s="382"/>
      <c r="H154" s="380"/>
      <c r="I154" s="15"/>
    </row>
    <row r="155" spans="1:9" ht="11.25" customHeight="1">
      <c r="A155" s="395"/>
      <c r="B155" s="396"/>
      <c r="C155" s="397"/>
      <c r="D155" s="398"/>
      <c r="E155" s="399"/>
      <c r="F155" s="400"/>
      <c r="G155" s="382"/>
      <c r="H155" s="380"/>
      <c r="I155" s="15"/>
    </row>
    <row r="156" spans="1:9" ht="11.25" customHeight="1">
      <c r="A156" s="395"/>
      <c r="B156" s="396"/>
      <c r="C156" s="397"/>
      <c r="D156" s="398"/>
      <c r="E156" s="399"/>
      <c r="F156" s="400"/>
      <c r="G156" s="382"/>
      <c r="H156" s="380"/>
      <c r="I156" s="15"/>
    </row>
    <row r="157" spans="1:9" ht="11.25" customHeight="1">
      <c r="A157" s="395"/>
      <c r="B157" s="396"/>
      <c r="C157" s="397"/>
      <c r="D157" s="398"/>
      <c r="E157" s="399"/>
      <c r="F157" s="400"/>
      <c r="G157" s="382"/>
      <c r="H157" s="380"/>
      <c r="I157" s="15"/>
    </row>
    <row r="158" spans="1:9" ht="11.25" customHeight="1">
      <c r="A158" s="395"/>
      <c r="B158" s="396"/>
      <c r="C158" s="397"/>
      <c r="D158" s="398"/>
      <c r="E158" s="399"/>
      <c r="F158" s="400"/>
      <c r="G158" s="382"/>
      <c r="H158" s="380"/>
      <c r="I158" s="15"/>
    </row>
    <row r="159" spans="1:9" ht="11.25" customHeight="1">
      <c r="A159" s="395"/>
      <c r="B159" s="396"/>
      <c r="C159" s="397"/>
      <c r="D159" s="398"/>
      <c r="E159" s="399"/>
      <c r="F159" s="400"/>
      <c r="G159" s="382"/>
      <c r="H159" s="380"/>
      <c r="I159" s="15"/>
    </row>
    <row r="160" spans="1:9" ht="11.25" customHeight="1">
      <c r="A160" s="395"/>
      <c r="B160" s="396"/>
      <c r="C160" s="397"/>
      <c r="D160" s="398"/>
      <c r="E160" s="399"/>
      <c r="F160" s="400"/>
      <c r="G160" s="382"/>
      <c r="H160" s="380"/>
      <c r="I160" s="15"/>
    </row>
    <row r="161" spans="1:9" ht="11.25" customHeight="1">
      <c r="A161" s="395"/>
      <c r="B161" s="396"/>
      <c r="C161" s="397"/>
      <c r="D161" s="398"/>
      <c r="E161" s="399"/>
      <c r="F161" s="400"/>
      <c r="G161" s="382"/>
      <c r="H161" s="380"/>
      <c r="I161" s="15"/>
    </row>
    <row r="162" spans="1:9" ht="11.25" customHeight="1">
      <c r="A162" s="395"/>
      <c r="B162" s="396"/>
      <c r="C162" s="397"/>
      <c r="D162" s="398"/>
      <c r="E162" s="399"/>
      <c r="F162" s="400"/>
      <c r="G162" s="382"/>
      <c r="H162" s="380"/>
      <c r="I162" s="15"/>
    </row>
    <row r="163" spans="1:9" ht="11.25" customHeight="1">
      <c r="A163" s="395"/>
      <c r="B163" s="396"/>
      <c r="C163" s="397"/>
      <c r="D163" s="398"/>
      <c r="E163" s="399"/>
      <c r="F163" s="400"/>
      <c r="G163" s="382"/>
      <c r="H163" s="380"/>
      <c r="I163" s="15"/>
    </row>
    <row r="164" spans="1:9" ht="11.25" customHeight="1">
      <c r="A164" s="395"/>
      <c r="B164" s="396"/>
      <c r="C164" s="397"/>
      <c r="D164" s="398"/>
      <c r="E164" s="399"/>
      <c r="F164" s="400"/>
      <c r="G164" s="382"/>
      <c r="H164" s="380"/>
      <c r="I164" s="15"/>
    </row>
    <row r="165" spans="1:9" ht="11.25" customHeight="1">
      <c r="A165" s="395"/>
      <c r="B165" s="396"/>
      <c r="C165" s="397"/>
      <c r="D165" s="398"/>
      <c r="E165" s="399"/>
      <c r="F165" s="400"/>
      <c r="G165" s="382"/>
      <c r="H165" s="380"/>
      <c r="I165" s="15"/>
    </row>
    <row r="166" spans="1:9" ht="11.25" customHeight="1">
      <c r="A166" s="395"/>
      <c r="B166" s="396"/>
      <c r="C166" s="397"/>
      <c r="D166" s="398"/>
      <c r="E166" s="399"/>
      <c r="F166" s="400"/>
      <c r="G166" s="382"/>
      <c r="H166" s="380"/>
      <c r="I166" s="15"/>
    </row>
    <row r="167" spans="1:9" ht="11.25" customHeight="1">
      <c r="A167" s="395"/>
      <c r="B167" s="396"/>
      <c r="C167" s="397"/>
      <c r="D167" s="398"/>
      <c r="E167" s="399"/>
      <c r="F167" s="400"/>
      <c r="G167" s="382"/>
      <c r="H167" s="380"/>
      <c r="I167" s="15"/>
    </row>
    <row r="168" spans="1:9" ht="11.25" customHeight="1">
      <c r="A168" s="395"/>
      <c r="B168" s="396"/>
      <c r="C168" s="397"/>
      <c r="D168" s="398"/>
      <c r="E168" s="399"/>
      <c r="F168" s="400"/>
      <c r="G168" s="382"/>
      <c r="H168" s="380"/>
      <c r="I168" s="15"/>
    </row>
    <row r="169" spans="1:9" ht="11.25" customHeight="1">
      <c r="A169" s="395"/>
      <c r="B169" s="396"/>
      <c r="C169" s="397"/>
      <c r="D169" s="398"/>
      <c r="E169" s="399"/>
      <c r="F169" s="400"/>
      <c r="G169" s="382"/>
      <c r="H169" s="380"/>
      <c r="I169" s="15"/>
    </row>
    <row r="170" spans="1:9" ht="11.25" customHeight="1">
      <c r="A170" s="395"/>
      <c r="B170" s="396"/>
      <c r="C170" s="397"/>
      <c r="D170" s="398"/>
      <c r="E170" s="399"/>
      <c r="F170" s="400"/>
      <c r="G170" s="382"/>
      <c r="H170" s="380"/>
      <c r="I170" s="15"/>
    </row>
    <row r="171" spans="1:9" ht="11.25" customHeight="1">
      <c r="A171" s="395"/>
      <c r="B171" s="396"/>
      <c r="C171" s="397"/>
      <c r="D171" s="398"/>
      <c r="E171" s="399"/>
      <c r="F171" s="400"/>
      <c r="G171" s="382"/>
      <c r="H171" s="380"/>
      <c r="I171" s="15"/>
    </row>
    <row r="172" spans="1:9" ht="11.25" customHeight="1">
      <c r="A172" s="395"/>
      <c r="B172" s="396"/>
      <c r="C172" s="397"/>
      <c r="D172" s="398"/>
      <c r="E172" s="399"/>
      <c r="F172" s="400"/>
      <c r="G172" s="382"/>
      <c r="H172" s="380"/>
      <c r="I172" s="15"/>
    </row>
    <row r="173" spans="1:9" ht="11.25" customHeight="1">
      <c r="A173" s="395"/>
      <c r="B173" s="396"/>
      <c r="C173" s="397"/>
      <c r="D173" s="398"/>
      <c r="E173" s="399"/>
      <c r="F173" s="400"/>
      <c r="G173" s="382"/>
      <c r="H173" s="380"/>
      <c r="I173" s="15"/>
    </row>
    <row r="174" spans="1:9" ht="11.25" customHeight="1">
      <c r="A174" s="395"/>
      <c r="B174" s="396"/>
      <c r="C174" s="397"/>
      <c r="D174" s="398"/>
      <c r="E174" s="399"/>
      <c r="F174" s="400"/>
      <c r="G174" s="382"/>
      <c r="H174" s="380"/>
      <c r="I174" s="15"/>
    </row>
    <row r="175" spans="1:9" ht="11.25" customHeight="1">
      <c r="A175" s="395"/>
      <c r="B175" s="396"/>
      <c r="C175" s="397"/>
      <c r="D175" s="398"/>
      <c r="E175" s="399"/>
      <c r="F175" s="400"/>
      <c r="G175" s="382"/>
      <c r="H175" s="380"/>
      <c r="I175" s="15"/>
    </row>
    <row r="176" spans="1:9" ht="11.25" customHeight="1">
      <c r="A176" s="395"/>
      <c r="B176" s="396"/>
      <c r="C176" s="397"/>
      <c r="D176" s="398"/>
      <c r="E176" s="399"/>
      <c r="F176" s="400"/>
      <c r="G176" s="382"/>
      <c r="H176" s="380"/>
      <c r="I176" s="15"/>
    </row>
    <row r="177" spans="1:9" ht="11.25" customHeight="1">
      <c r="A177" s="395"/>
      <c r="B177" s="396"/>
      <c r="C177" s="397"/>
      <c r="D177" s="398"/>
      <c r="E177" s="399"/>
      <c r="F177" s="400"/>
      <c r="G177" s="382"/>
      <c r="H177" s="380"/>
      <c r="I177" s="15"/>
    </row>
    <row r="178" spans="1:9" ht="11.25" customHeight="1">
      <c r="A178" s="395"/>
      <c r="B178" s="396"/>
      <c r="C178" s="397"/>
      <c r="D178" s="398"/>
      <c r="E178" s="399"/>
      <c r="F178" s="400"/>
      <c r="G178" s="382"/>
      <c r="H178" s="380"/>
      <c r="I178" s="15"/>
    </row>
    <row r="179" spans="1:9" ht="11.25" customHeight="1">
      <c r="A179" s="395"/>
      <c r="B179" s="396"/>
      <c r="C179" s="397"/>
      <c r="D179" s="398"/>
      <c r="E179" s="399"/>
      <c r="F179" s="400"/>
      <c r="G179" s="382"/>
      <c r="H179" s="380"/>
      <c r="I179" s="15"/>
    </row>
    <row r="180" spans="1:9" ht="11.25" customHeight="1">
      <c r="A180" s="395"/>
      <c r="B180" s="396"/>
      <c r="C180" s="401"/>
      <c r="D180" s="402"/>
      <c r="E180" s="403"/>
      <c r="F180" s="404"/>
      <c r="G180" s="382"/>
      <c r="H180" s="380"/>
      <c r="I180" s="15"/>
    </row>
    <row r="181" spans="1:9" ht="11.25" customHeight="1">
      <c r="A181" s="395"/>
      <c r="B181" s="396"/>
      <c r="C181" s="401"/>
      <c r="D181" s="402"/>
      <c r="E181" s="401"/>
      <c r="F181" s="404"/>
      <c r="G181" s="382"/>
      <c r="H181" s="380"/>
      <c r="I181" s="15"/>
    </row>
    <row r="182" spans="1:9" ht="11.25" customHeight="1">
      <c r="A182" s="405"/>
      <c r="B182" s="406"/>
      <c r="C182" s="407"/>
      <c r="D182" s="408"/>
      <c r="E182" s="409"/>
      <c r="F182" s="394"/>
      <c r="G182" s="382"/>
      <c r="H182" s="380"/>
      <c r="I182" s="15"/>
    </row>
    <row r="183" spans="1:9" ht="11.25" customHeight="1">
      <c r="A183" s="395"/>
      <c r="B183" s="396"/>
      <c r="C183" s="397"/>
      <c r="D183" s="398"/>
      <c r="E183" s="399"/>
      <c r="F183" s="400"/>
      <c r="G183" s="382"/>
      <c r="H183" s="380"/>
      <c r="I183" s="15"/>
    </row>
    <row r="184" spans="1:9" ht="11.25" customHeight="1">
      <c r="A184" s="395"/>
      <c r="B184" s="396"/>
      <c r="C184" s="397"/>
      <c r="D184" s="398"/>
      <c r="E184" s="399"/>
      <c r="F184" s="400"/>
      <c r="G184" s="382"/>
      <c r="H184" s="380"/>
      <c r="I184" s="15"/>
    </row>
    <row r="185" spans="1:9" ht="11.25" customHeight="1">
      <c r="A185" s="395"/>
      <c r="B185" s="396"/>
      <c r="C185" s="397"/>
      <c r="D185" s="398"/>
      <c r="E185" s="403"/>
      <c r="F185" s="404"/>
      <c r="G185" s="382"/>
      <c r="H185" s="380"/>
      <c r="I185" s="15"/>
    </row>
    <row r="186" spans="1:9" ht="11.25" customHeight="1">
      <c r="A186" s="395"/>
      <c r="B186" s="396"/>
      <c r="C186" s="401"/>
      <c r="D186" s="402"/>
      <c r="E186" s="403"/>
      <c r="F186" s="404"/>
      <c r="G186" s="382"/>
      <c r="H186" s="380"/>
      <c r="I186" s="15"/>
    </row>
    <row r="187" spans="1:9" ht="11.25" customHeight="1">
      <c r="A187" s="395"/>
      <c r="B187" s="396"/>
      <c r="C187" s="401"/>
      <c r="D187" s="402"/>
      <c r="E187" s="403"/>
      <c r="F187" s="404"/>
      <c r="G187" s="382"/>
      <c r="H187" s="380"/>
      <c r="I187" s="15"/>
    </row>
    <row r="188" spans="1:9" ht="11.25" customHeight="1">
      <c r="A188" s="395"/>
      <c r="B188" s="396"/>
      <c r="C188" s="407"/>
      <c r="D188" s="408"/>
      <c r="E188" s="409"/>
      <c r="F188" s="394"/>
      <c r="G188" s="382"/>
      <c r="H188" s="380"/>
      <c r="I188" s="15"/>
    </row>
    <row r="189" spans="1:9" ht="11.25" customHeight="1">
      <c r="A189" s="395"/>
      <c r="B189" s="396"/>
      <c r="C189" s="397"/>
      <c r="D189" s="398"/>
      <c r="E189" s="399"/>
      <c r="F189" s="400"/>
      <c r="G189" s="382"/>
      <c r="H189" s="380"/>
      <c r="I189" s="15"/>
    </row>
    <row r="190" spans="1:9" ht="11.25" customHeight="1">
      <c r="A190" s="395"/>
      <c r="B190" s="396"/>
      <c r="C190" s="397"/>
      <c r="D190" s="398"/>
      <c r="E190" s="403"/>
      <c r="F190" s="404"/>
      <c r="G190" s="382"/>
      <c r="H190" s="380"/>
      <c r="I190" s="15"/>
    </row>
    <row r="191" spans="1:9" ht="11.25" customHeight="1">
      <c r="A191" s="395"/>
      <c r="B191" s="396"/>
      <c r="C191" s="401"/>
      <c r="D191" s="402"/>
      <c r="E191" s="403"/>
      <c r="F191" s="404"/>
      <c r="G191" s="382"/>
      <c r="H191" s="380"/>
      <c r="I191" s="15"/>
    </row>
    <row r="192" spans="1:9" ht="11.25" customHeight="1">
      <c r="A192" s="395"/>
      <c r="B192" s="396"/>
      <c r="C192" s="401"/>
      <c r="D192" s="402"/>
      <c r="E192" s="410"/>
      <c r="F192" s="411"/>
      <c r="G192" s="382"/>
      <c r="H192" s="380"/>
      <c r="I192" s="15"/>
    </row>
    <row r="193" spans="1:9" ht="11.25" customHeight="1">
      <c r="A193" s="405"/>
      <c r="B193" s="406"/>
      <c r="C193" s="407"/>
      <c r="D193" s="408"/>
      <c r="E193" s="409"/>
      <c r="F193" s="394"/>
      <c r="G193" s="412"/>
      <c r="H193" s="413"/>
      <c r="I193" s="15"/>
    </row>
    <row r="194" spans="1:9" ht="11.25" customHeight="1">
      <c r="A194" s="395"/>
      <c r="B194" s="414"/>
      <c r="C194" s="399"/>
      <c r="D194" s="400"/>
      <c r="E194" s="415"/>
      <c r="F194" s="416"/>
      <c r="G194" s="417"/>
      <c r="H194" s="413"/>
      <c r="I194" s="15"/>
    </row>
    <row r="195" spans="1:9" ht="11.25" customHeight="1">
      <c r="A195" s="395"/>
      <c r="B195" s="414"/>
      <c r="C195" s="399"/>
      <c r="D195" s="400"/>
      <c r="E195" s="410"/>
      <c r="F195" s="411"/>
      <c r="G195" s="417"/>
      <c r="H195" s="413"/>
      <c r="I195" s="15"/>
    </row>
    <row r="196" spans="1:9" ht="11.25" customHeight="1">
      <c r="A196" s="395"/>
      <c r="B196" s="414"/>
      <c r="C196" s="403"/>
      <c r="D196" s="404"/>
      <c r="E196" s="418"/>
      <c r="F196" s="404"/>
      <c r="G196" s="41"/>
      <c r="H196" s="414"/>
      <c r="I196" s="15"/>
    </row>
    <row r="197" spans="1:9" ht="11.25" customHeight="1">
      <c r="A197" s="395"/>
      <c r="B197" s="414"/>
      <c r="C197" s="403"/>
      <c r="D197" s="404"/>
      <c r="E197" s="410"/>
      <c r="F197" s="404"/>
      <c r="G197" s="417"/>
      <c r="H197" s="413"/>
      <c r="I197" s="15"/>
    </row>
    <row r="198" spans="1:9" ht="11.25" customHeight="1">
      <c r="A198" s="395"/>
      <c r="B198" s="419"/>
      <c r="C198" s="410"/>
      <c r="D198" s="416"/>
      <c r="E198" s="420"/>
      <c r="F198" s="415"/>
      <c r="G198" s="421"/>
      <c r="H198" s="422"/>
      <c r="I198" s="15"/>
    </row>
    <row r="199" spans="1:9" ht="11.25" customHeight="1">
      <c r="A199" s="405"/>
      <c r="B199" s="423"/>
      <c r="C199" s="424"/>
      <c r="D199" s="425"/>
      <c r="E199" s="423"/>
      <c r="F199" s="424"/>
      <c r="G199" s="426"/>
      <c r="H199" s="427"/>
      <c r="I199" s="15"/>
    </row>
    <row r="200" spans="1:9" ht="11.25" customHeight="1">
      <c r="A200" s="389"/>
      <c r="B200" s="428"/>
      <c r="C200" s="429"/>
      <c r="D200" s="416"/>
      <c r="E200" s="430"/>
      <c r="F200" s="431"/>
      <c r="G200" s="432"/>
      <c r="H200" s="433"/>
      <c r="I200" s="434"/>
    </row>
    <row r="201" spans="1:9" ht="11.25" customHeight="1">
      <c r="A201" s="435"/>
      <c r="B201" s="436"/>
      <c r="C201" s="437"/>
      <c r="D201" s="438"/>
      <c r="E201" s="437"/>
      <c r="F201" s="438"/>
      <c r="G201" s="438"/>
      <c r="H201" s="439"/>
      <c r="I201" s="440"/>
    </row>
    <row r="202" spans="1:9" ht="11.25" customHeight="1">
      <c r="A202" s="435"/>
      <c r="B202" s="436"/>
      <c r="C202" s="437"/>
      <c r="D202" s="438"/>
      <c r="E202" s="437"/>
      <c r="F202" s="438"/>
      <c r="G202" s="438"/>
      <c r="H202" s="439"/>
      <c r="I202" s="440"/>
    </row>
    <row r="203" ht="11.25" customHeight="1">
      <c r="I203" s="377"/>
    </row>
    <row r="204" ht="11.25" customHeight="1">
      <c r="I204" s="377"/>
    </row>
  </sheetData>
  <sheetProtection/>
  <mergeCells count="1">
    <mergeCell ref="C7:D7"/>
  </mergeCells>
  <printOptions/>
  <pageMargins left="0.67" right="0.2" top="0.25" bottom="0.25" header="0.34" footer="0.3"/>
  <pageSetup horizontalDpi="600" verticalDpi="600" orientation="portrait" paperSize="9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"/>
    </sheetView>
  </sheetViews>
  <sheetFormatPr defaultColWidth="9.140625" defaultRowHeight="18" customHeight="1"/>
  <cols>
    <col min="1" max="1" width="20.140625" style="378" customWidth="1"/>
    <col min="2" max="2" width="9.140625" style="378" customWidth="1"/>
    <col min="3" max="3" width="11.28125" style="378" customWidth="1"/>
    <col min="4" max="4" width="12.28125" style="378" customWidth="1"/>
    <col min="5" max="5" width="15.8515625" style="378" customWidth="1"/>
    <col min="6" max="6" width="13.7109375" style="378" customWidth="1"/>
    <col min="7" max="16384" width="9.140625" style="378" customWidth="1"/>
  </cols>
  <sheetData>
    <row r="1" spans="1:8" ht="15.75" customHeight="1">
      <c r="A1" s="58" t="s">
        <v>35</v>
      </c>
      <c r="B1" s="8"/>
      <c r="C1" s="8"/>
      <c r="D1" s="8"/>
      <c r="E1" s="8"/>
      <c r="F1" s="8"/>
      <c r="G1" s="2"/>
      <c r="H1" s="2"/>
    </row>
    <row r="2" spans="1:8" ht="15.75" customHeight="1">
      <c r="A2" s="59" t="s">
        <v>1251</v>
      </c>
      <c r="B2" s="8"/>
      <c r="C2" s="8"/>
      <c r="D2" s="8"/>
      <c r="E2" s="8"/>
      <c r="F2" s="8"/>
      <c r="G2" s="2"/>
      <c r="H2" s="2"/>
    </row>
    <row r="3" spans="1:8" ht="15.75" customHeight="1">
      <c r="A3" s="59"/>
      <c r="B3" s="8"/>
      <c r="C3" s="8"/>
      <c r="D3" s="8"/>
      <c r="E3" s="8"/>
      <c r="F3" s="8"/>
      <c r="G3" s="2"/>
      <c r="H3" s="2"/>
    </row>
    <row r="4" spans="1:8" ht="15.75" customHeight="1">
      <c r="A4" s="858" t="s">
        <v>5</v>
      </c>
      <c r="B4" s="858"/>
      <c r="C4" s="8"/>
      <c r="D4" s="8"/>
      <c r="E4" s="8"/>
      <c r="F4" s="8"/>
      <c r="G4" s="2"/>
      <c r="H4" s="2"/>
    </row>
    <row r="5" spans="1:8" ht="15.75" customHeight="1">
      <c r="A5" s="858" t="s">
        <v>6</v>
      </c>
      <c r="B5" s="858"/>
      <c r="C5" s="858"/>
      <c r="D5" s="60"/>
      <c r="E5" s="8"/>
      <c r="F5" s="8"/>
      <c r="G5" s="2"/>
      <c r="H5" s="2"/>
    </row>
    <row r="6" spans="1:8" ht="15.75" customHeight="1">
      <c r="A6" s="858" t="s">
        <v>7</v>
      </c>
      <c r="B6" s="858"/>
      <c r="C6" s="858"/>
      <c r="D6" s="58"/>
      <c r="E6" s="58"/>
      <c r="F6" s="8"/>
      <c r="G6" s="2"/>
      <c r="H6" s="2"/>
    </row>
    <row r="7" spans="1:8" ht="15.75" customHeight="1">
      <c r="A7" s="58" t="s">
        <v>276</v>
      </c>
      <c r="B7" s="8"/>
      <c r="C7" s="8"/>
      <c r="D7" s="8"/>
      <c r="E7" s="8"/>
      <c r="F7" s="8"/>
      <c r="G7" s="2"/>
      <c r="H7" s="2"/>
    </row>
    <row r="8" spans="1:8" ht="15.75" customHeight="1">
      <c r="A8" s="9"/>
      <c r="B8" s="61" t="s">
        <v>1261</v>
      </c>
      <c r="D8" s="9"/>
      <c r="E8" s="9"/>
      <c r="F8" s="9"/>
      <c r="G8" s="2"/>
      <c r="H8" s="2"/>
    </row>
    <row r="9" spans="1:8" ht="15.75" customHeight="1">
      <c r="A9" s="8" t="s">
        <v>8</v>
      </c>
      <c r="B9" s="8"/>
      <c r="C9" s="8"/>
      <c r="D9" s="8"/>
      <c r="E9" s="8"/>
      <c r="F9" s="8"/>
      <c r="G9" s="2"/>
      <c r="H9" s="2"/>
    </row>
    <row r="10" spans="1:8" ht="15.75" customHeight="1">
      <c r="A10" s="9" t="s">
        <v>9</v>
      </c>
      <c r="B10" s="9"/>
      <c r="C10" s="9"/>
      <c r="D10" s="9"/>
      <c r="E10" s="9"/>
      <c r="F10" s="9"/>
      <c r="G10" s="2"/>
      <c r="H10" s="2"/>
    </row>
    <row r="11" spans="1:8" ht="15.75" customHeight="1">
      <c r="A11" s="9"/>
      <c r="B11" s="9"/>
      <c r="C11" s="9"/>
      <c r="D11" s="9"/>
      <c r="E11" s="9"/>
      <c r="F11" s="9"/>
      <c r="G11" s="2"/>
      <c r="H11" s="2"/>
    </row>
    <row r="12" spans="1:8" ht="15.75" customHeight="1">
      <c r="A12" s="61" t="s">
        <v>36</v>
      </c>
      <c r="B12" s="190"/>
      <c r="C12" s="190" t="s">
        <v>10</v>
      </c>
      <c r="D12" s="190" t="s">
        <v>0</v>
      </c>
      <c r="E12" s="190" t="s">
        <v>34</v>
      </c>
      <c r="F12" s="190" t="s">
        <v>1</v>
      </c>
      <c r="G12" s="2"/>
      <c r="H12" s="2"/>
    </row>
    <row r="13" spans="1:8" ht="15.75" customHeight="1">
      <c r="A13" s="8" t="s">
        <v>11</v>
      </c>
      <c r="B13" s="10" t="s">
        <v>12</v>
      </c>
      <c r="C13" s="186">
        <v>220</v>
      </c>
      <c r="D13" s="62">
        <v>10980.5</v>
      </c>
      <c r="E13" s="63">
        <v>1599123</v>
      </c>
      <c r="F13" s="316">
        <f>E13/D13</f>
        <v>145.63298574746142</v>
      </c>
      <c r="G13" s="2"/>
      <c r="H13" s="2"/>
    </row>
    <row r="14" spans="1:8" ht="15.75" customHeight="1">
      <c r="A14" s="8" t="s">
        <v>13</v>
      </c>
      <c r="B14" s="10" t="s">
        <v>12</v>
      </c>
      <c r="C14" s="65">
        <v>0</v>
      </c>
      <c r="D14" s="66">
        <v>0</v>
      </c>
      <c r="E14" s="67">
        <v>0</v>
      </c>
      <c r="F14" s="316" t="e">
        <f>E14/D14</f>
        <v>#DIV/0!</v>
      </c>
      <c r="G14" s="2"/>
      <c r="H14" s="2"/>
    </row>
    <row r="15" spans="1:8" ht="15.75" customHeight="1">
      <c r="A15" s="8" t="s">
        <v>14</v>
      </c>
      <c r="B15" s="10"/>
      <c r="C15" s="187">
        <f>C13+C14</f>
        <v>220</v>
      </c>
      <c r="D15" s="68">
        <f>D13+D14</f>
        <v>10980.5</v>
      </c>
      <c r="E15" s="188">
        <f>E13+E14</f>
        <v>1599123</v>
      </c>
      <c r="F15" s="317">
        <f>E15/D15</f>
        <v>145.63298574746142</v>
      </c>
      <c r="G15" s="2"/>
      <c r="H15" s="2"/>
    </row>
    <row r="16" spans="1:8" ht="15.75" customHeight="1">
      <c r="A16" s="8"/>
      <c r="B16" s="10"/>
      <c r="C16" s="198"/>
      <c r="D16" s="71"/>
      <c r="E16" s="72"/>
      <c r="F16" s="318"/>
      <c r="G16" s="2"/>
      <c r="H16" s="2"/>
    </row>
    <row r="17" spans="1:8" ht="15.75" customHeight="1">
      <c r="A17" s="61" t="s">
        <v>15</v>
      </c>
      <c r="B17" s="190"/>
      <c r="C17" s="190" t="s">
        <v>10</v>
      </c>
      <c r="D17" s="191" t="s">
        <v>0</v>
      </c>
      <c r="E17" s="190" t="s">
        <v>34</v>
      </c>
      <c r="F17" s="319" t="s">
        <v>1</v>
      </c>
      <c r="G17" s="2"/>
      <c r="H17" s="2"/>
    </row>
    <row r="18" spans="1:8" ht="15.75" customHeight="1">
      <c r="A18" s="8" t="s">
        <v>11</v>
      </c>
      <c r="B18" s="10" t="s">
        <v>16</v>
      </c>
      <c r="C18" s="367"/>
      <c r="D18" s="368"/>
      <c r="E18" s="369"/>
      <c r="F18" s="370" t="e">
        <f>E18/D18</f>
        <v>#DIV/0!</v>
      </c>
      <c r="G18" s="2"/>
      <c r="H18" s="2"/>
    </row>
    <row r="19" spans="1:8" ht="15.75" customHeight="1">
      <c r="A19" s="8" t="s">
        <v>14</v>
      </c>
      <c r="B19" s="10"/>
      <c r="C19" s="74">
        <f>SUM(C18)</f>
        <v>0</v>
      </c>
      <c r="D19" s="66">
        <f>SUM(D18)</f>
        <v>0</v>
      </c>
      <c r="E19" s="75">
        <f>SUM(E18)</f>
        <v>0</v>
      </c>
      <c r="F19" s="320" t="e">
        <f>E19/D19</f>
        <v>#DIV/0!</v>
      </c>
      <c r="G19" s="2"/>
      <c r="H19" s="2"/>
    </row>
    <row r="20" spans="1:8" ht="15.75" customHeight="1">
      <c r="A20" s="8" t="s">
        <v>32</v>
      </c>
      <c r="B20" s="10"/>
      <c r="C20" s="77">
        <f>C19+C15</f>
        <v>220</v>
      </c>
      <c r="D20" s="68">
        <f>D19+D15</f>
        <v>10980.5</v>
      </c>
      <c r="E20" s="78">
        <f>E19+E15</f>
        <v>1599123</v>
      </c>
      <c r="F20" s="317">
        <f>E20/D20</f>
        <v>145.63298574746142</v>
      </c>
      <c r="G20" s="2"/>
      <c r="H20" s="2"/>
    </row>
    <row r="21" spans="1:8" ht="15.75" customHeight="1">
      <c r="A21" s="8"/>
      <c r="B21" s="10"/>
      <c r="C21" s="79"/>
      <c r="D21" s="71"/>
      <c r="E21" s="72"/>
      <c r="F21" s="318"/>
      <c r="G21" s="2"/>
      <c r="H21" s="2"/>
    </row>
    <row r="22" spans="1:8" ht="15.75" customHeight="1">
      <c r="A22" s="61" t="s">
        <v>37</v>
      </c>
      <c r="B22" s="190"/>
      <c r="C22" s="190" t="s">
        <v>10</v>
      </c>
      <c r="D22" s="191" t="s">
        <v>0</v>
      </c>
      <c r="E22" s="190" t="s">
        <v>34</v>
      </c>
      <c r="F22" s="319" t="s">
        <v>1</v>
      </c>
      <c r="G22" s="2"/>
      <c r="H22" s="2"/>
    </row>
    <row r="23" spans="1:8" ht="15.75" customHeight="1">
      <c r="A23" s="8" t="s">
        <v>11</v>
      </c>
      <c r="B23" s="10" t="s">
        <v>12</v>
      </c>
      <c r="C23" s="83">
        <v>0</v>
      </c>
      <c r="D23" s="62">
        <v>0</v>
      </c>
      <c r="E23" s="63">
        <v>0</v>
      </c>
      <c r="F23" s="316" t="e">
        <f>E23/D23</f>
        <v>#DIV/0!</v>
      </c>
      <c r="G23" s="2"/>
      <c r="H23" s="2"/>
    </row>
    <row r="24" spans="1:8" ht="15.75" customHeight="1">
      <c r="A24" s="8" t="s">
        <v>13</v>
      </c>
      <c r="B24" s="10" t="s">
        <v>12</v>
      </c>
      <c r="C24" s="84"/>
      <c r="D24" s="66"/>
      <c r="E24" s="67"/>
      <c r="F24" s="320" t="e">
        <f>E24/D24</f>
        <v>#DIV/0!</v>
      </c>
      <c r="G24" s="2"/>
      <c r="H24" s="2"/>
    </row>
    <row r="25" spans="1:8" ht="15.75" customHeight="1">
      <c r="A25" s="8" t="s">
        <v>14</v>
      </c>
      <c r="B25" s="10"/>
      <c r="C25" s="74">
        <f>C23+C24</f>
        <v>0</v>
      </c>
      <c r="D25" s="66">
        <f>D23+D24</f>
        <v>0</v>
      </c>
      <c r="E25" s="67">
        <f>E23+E24</f>
        <v>0</v>
      </c>
      <c r="F25" s="320" t="e">
        <f>E25/D25</f>
        <v>#DIV/0!</v>
      </c>
      <c r="G25" s="2"/>
      <c r="H25" s="2"/>
    </row>
    <row r="26" spans="1:8" ht="15.75" customHeight="1">
      <c r="A26" s="8"/>
      <c r="B26" s="10"/>
      <c r="C26" s="79"/>
      <c r="D26" s="71"/>
      <c r="E26" s="72"/>
      <c r="F26" s="318"/>
      <c r="G26" s="2"/>
      <c r="H26" s="2"/>
    </row>
    <row r="27" spans="1:8" ht="15.75" customHeight="1">
      <c r="A27" s="58" t="s">
        <v>38</v>
      </c>
      <c r="B27" s="80"/>
      <c r="C27" s="80" t="s">
        <v>10</v>
      </c>
      <c r="D27" s="81" t="s">
        <v>0</v>
      </c>
      <c r="E27" s="80" t="s">
        <v>34</v>
      </c>
      <c r="F27" s="321" t="s">
        <v>1</v>
      </c>
      <c r="G27" s="2"/>
      <c r="H27" s="2"/>
    </row>
    <row r="28" spans="1:8" ht="15.75" customHeight="1">
      <c r="A28" s="8" t="s">
        <v>11</v>
      </c>
      <c r="B28" s="10" t="s">
        <v>12</v>
      </c>
      <c r="C28" s="70"/>
      <c r="D28" s="71"/>
      <c r="E28" s="72"/>
      <c r="F28" s="318" t="e">
        <f>E28/D28</f>
        <v>#DIV/0!</v>
      </c>
      <c r="G28" s="2"/>
      <c r="H28" s="2"/>
    </row>
    <row r="29" spans="1:8" ht="15.75" customHeight="1">
      <c r="A29" s="8" t="s">
        <v>13</v>
      </c>
      <c r="B29" s="10" t="s">
        <v>12</v>
      </c>
      <c r="C29" s="70"/>
      <c r="D29" s="71"/>
      <c r="E29" s="72"/>
      <c r="F29" s="318" t="e">
        <f>E29/D29</f>
        <v>#DIV/0!</v>
      </c>
      <c r="G29" s="2"/>
      <c r="H29" s="2"/>
    </row>
    <row r="30" spans="1:8" ht="15.75" customHeight="1">
      <c r="A30" s="8" t="s">
        <v>14</v>
      </c>
      <c r="B30" s="10"/>
      <c r="C30" s="79">
        <f>C28+C29</f>
        <v>0</v>
      </c>
      <c r="D30" s="71">
        <f>D28+D29</f>
        <v>0</v>
      </c>
      <c r="E30" s="193">
        <f>E28+E29</f>
        <v>0</v>
      </c>
      <c r="F30" s="318" t="e">
        <f>E30/D30</f>
        <v>#DIV/0!</v>
      </c>
      <c r="G30" s="2"/>
      <c r="H30" s="2"/>
    </row>
    <row r="31" spans="1:8" ht="15.75" customHeight="1">
      <c r="A31" s="8"/>
      <c r="B31" s="10"/>
      <c r="C31" s="79"/>
      <c r="D31" s="71"/>
      <c r="E31" s="193"/>
      <c r="F31" s="318"/>
      <c r="G31" s="2"/>
      <c r="H31" s="2"/>
    </row>
    <row r="32" spans="1:8" ht="15.75" customHeight="1">
      <c r="A32" s="8" t="s">
        <v>29</v>
      </c>
      <c r="B32" s="10" t="s">
        <v>16</v>
      </c>
      <c r="C32" s="70"/>
      <c r="D32" s="71"/>
      <c r="E32" s="72"/>
      <c r="F32" s="318"/>
      <c r="G32" s="2"/>
      <c r="H32" s="2"/>
    </row>
    <row r="33" spans="1:8" ht="15.75" customHeight="1">
      <c r="A33" s="8" t="s">
        <v>14</v>
      </c>
      <c r="B33" s="10"/>
      <c r="C33" s="74">
        <f>C28+C29+C32</f>
        <v>0</v>
      </c>
      <c r="D33" s="66">
        <f>D28+D29+D32</f>
        <v>0</v>
      </c>
      <c r="E33" s="75">
        <f>E28+E29+E32</f>
        <v>0</v>
      </c>
      <c r="F33" s="316" t="e">
        <f>E33/D33</f>
        <v>#DIV/0!</v>
      </c>
      <c r="G33" s="2"/>
      <c r="H33" s="2"/>
    </row>
    <row r="34" spans="1:8" ht="15.75" customHeight="1">
      <c r="A34" s="8" t="s">
        <v>17</v>
      </c>
      <c r="B34" s="10"/>
      <c r="C34" s="77">
        <f>C33+C15+C19+C25</f>
        <v>220</v>
      </c>
      <c r="D34" s="68">
        <f>D33+D15+D19+D25</f>
        <v>10980.5</v>
      </c>
      <c r="E34" s="78">
        <f>E15+E19+E25+E30+E32</f>
        <v>1599123</v>
      </c>
      <c r="F34" s="317">
        <f>E34/D34</f>
        <v>145.63298574746142</v>
      </c>
      <c r="G34" s="2"/>
      <c r="H34" s="2"/>
    </row>
    <row r="35" spans="1:8" ht="15.75" customHeight="1">
      <c r="A35" s="8"/>
      <c r="B35" s="10"/>
      <c r="C35" s="79"/>
      <c r="D35" s="11"/>
      <c r="E35" s="85"/>
      <c r="F35" s="86"/>
      <c r="G35" s="2"/>
      <c r="H35" s="2"/>
    </row>
    <row r="36" spans="1:8" ht="15.75" customHeight="1">
      <c r="A36" s="58"/>
      <c r="B36" s="80"/>
      <c r="C36" s="194"/>
      <c r="D36" s="364" t="s">
        <v>1262</v>
      </c>
      <c r="E36" s="196"/>
      <c r="F36" s="197"/>
      <c r="G36" s="2"/>
      <c r="H36" s="2"/>
    </row>
    <row r="37" spans="1:8" ht="15.75" customHeight="1">
      <c r="A37" s="58" t="s">
        <v>18</v>
      </c>
      <c r="B37" s="58"/>
      <c r="C37" s="80" t="s">
        <v>10</v>
      </c>
      <c r="D37" s="80" t="s">
        <v>0</v>
      </c>
      <c r="E37" s="88" t="s">
        <v>1</v>
      </c>
      <c r="F37" s="88" t="s">
        <v>2</v>
      </c>
      <c r="G37" s="2"/>
      <c r="H37" s="2"/>
    </row>
    <row r="38" spans="1:8" ht="15.75" customHeight="1">
      <c r="A38" s="60" t="s">
        <v>19</v>
      </c>
      <c r="B38" s="8"/>
      <c r="C38" s="89">
        <v>0</v>
      </c>
      <c r="D38" s="90">
        <v>0</v>
      </c>
      <c r="E38" s="91">
        <v>0</v>
      </c>
      <c r="F38" s="92">
        <f>D38/D40</f>
        <v>0</v>
      </c>
      <c r="G38" s="2"/>
      <c r="H38" s="2"/>
    </row>
    <row r="39" spans="1:8" ht="15.75" customHeight="1">
      <c r="A39" s="60" t="s">
        <v>30</v>
      </c>
      <c r="B39" s="8"/>
      <c r="C39" s="87">
        <v>220</v>
      </c>
      <c r="D39" s="93">
        <v>10980.5</v>
      </c>
      <c r="E39" s="94">
        <v>145.63</v>
      </c>
      <c r="F39" s="95">
        <f>D39/D40</f>
        <v>1</v>
      </c>
      <c r="G39" s="2"/>
      <c r="H39" s="2"/>
    </row>
    <row r="40" spans="1:8" ht="18.75" customHeight="1">
      <c r="A40" s="96" t="s">
        <v>20</v>
      </c>
      <c r="B40" s="97"/>
      <c r="C40" s="98">
        <f>SUM(C38:C39)</f>
        <v>220</v>
      </c>
      <c r="D40" s="99">
        <f>SUM(D38:D39)</f>
        <v>10980.5</v>
      </c>
      <c r="E40" s="189">
        <f>E39</f>
        <v>145.63</v>
      </c>
      <c r="F40" s="100">
        <f>SUM(F38:F39)</f>
        <v>1</v>
      </c>
      <c r="G40" s="2"/>
      <c r="H40" s="2"/>
    </row>
    <row r="41" spans="1:8" ht="15.75" customHeight="1">
      <c r="A41" s="58"/>
      <c r="B41" s="8"/>
      <c r="C41" s="87"/>
      <c r="D41" s="93"/>
      <c r="E41" s="101"/>
      <c r="F41" s="95"/>
      <c r="G41" s="2"/>
      <c r="H41" s="2"/>
    </row>
    <row r="42" spans="1:8" ht="15.75" customHeight="1">
      <c r="A42" s="8" t="s">
        <v>21</v>
      </c>
      <c r="B42" s="8"/>
      <c r="C42" s="8"/>
      <c r="D42" s="8"/>
      <c r="E42" s="8"/>
      <c r="F42" s="102"/>
      <c r="G42" s="2"/>
      <c r="H42" s="2"/>
    </row>
    <row r="43" spans="1:8" ht="15.75" customHeight="1">
      <c r="A43" s="8"/>
      <c r="B43" s="8"/>
      <c r="C43" s="8"/>
      <c r="D43" s="8"/>
      <c r="E43" s="8" t="s">
        <v>22</v>
      </c>
      <c r="F43" s="8"/>
      <c r="G43" s="2"/>
      <c r="H43" s="2"/>
    </row>
    <row r="44" spans="1:8" ht="15.75" customHeight="1">
      <c r="A44" s="8" t="s">
        <v>23</v>
      </c>
      <c r="B44" s="8"/>
      <c r="C44" s="8"/>
      <c r="D44" s="8" t="s">
        <v>24</v>
      </c>
      <c r="E44" s="8"/>
      <c r="F44" s="8"/>
      <c r="G44" s="2"/>
      <c r="H44" s="2"/>
    </row>
    <row r="45" spans="1:8" ht="15.75" customHeight="1">
      <c r="A45" s="8" t="s">
        <v>25</v>
      </c>
      <c r="B45" s="8"/>
      <c r="C45" s="8"/>
      <c r="D45" s="8"/>
      <c r="E45" s="8"/>
      <c r="F45" s="8"/>
      <c r="G45" s="2"/>
      <c r="H45" s="2"/>
    </row>
    <row r="46" spans="1:8" ht="15.75" customHeight="1">
      <c r="A46" s="8" t="s">
        <v>26</v>
      </c>
      <c r="B46" s="8"/>
      <c r="C46" s="8"/>
      <c r="D46" s="8"/>
      <c r="E46" s="8"/>
      <c r="F46" s="8"/>
      <c r="G46" s="2"/>
      <c r="H46" s="2"/>
    </row>
    <row r="47" spans="1:8" ht="15.75" customHeight="1">
      <c r="A47" s="8" t="s">
        <v>27</v>
      </c>
      <c r="B47" s="8"/>
      <c r="C47" s="8"/>
      <c r="D47" s="8"/>
      <c r="E47" s="8"/>
      <c r="F47" s="8"/>
      <c r="G47" s="2"/>
      <c r="H47" s="2"/>
    </row>
    <row r="48" spans="1:8" ht="15.75" customHeight="1">
      <c r="A48" s="8" t="s">
        <v>28</v>
      </c>
      <c r="B48" s="8"/>
      <c r="C48" s="8"/>
      <c r="D48" s="8"/>
      <c r="E48" s="8"/>
      <c r="F48" s="8"/>
      <c r="G48" s="2"/>
      <c r="H48" s="2"/>
    </row>
  </sheetData>
  <sheetProtection/>
  <mergeCells count="3">
    <mergeCell ref="A4:B4"/>
    <mergeCell ref="A5:C5"/>
    <mergeCell ref="A6:C6"/>
  </mergeCells>
  <printOptions/>
  <pageMargins left="0.7" right="0.7" top="0.75" bottom="0.75" header="0.3" footer="0.3"/>
  <pageSetup horizontalDpi="600" verticalDpi="600" orientation="portrait" scale="85" r:id="rId1"/>
  <headerFooter>
    <oddHeader>&amp;L&amp;D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6.8515625" style="378" customWidth="1"/>
    <col min="2" max="2" width="7.140625" style="31" customWidth="1"/>
    <col min="3" max="3" width="9.140625" style="360" customWidth="1"/>
    <col min="4" max="4" width="6.28125" style="31" customWidth="1"/>
    <col min="5" max="5" width="9.00390625" style="244" customWidth="1"/>
    <col min="6" max="6" width="7.140625" style="31" customWidth="1"/>
    <col min="7" max="7" width="10.140625" style="360" customWidth="1"/>
    <col min="8" max="8" width="12.28125" style="360" customWidth="1"/>
    <col min="9" max="9" width="8.7109375" style="48" customWidth="1"/>
    <col min="10" max="14" width="8.8515625" style="378" customWidth="1"/>
    <col min="15" max="15" width="12.7109375" style="378" bestFit="1" customWidth="1"/>
    <col min="16" max="16384" width="8.8515625" style="378" customWidth="1"/>
  </cols>
  <sheetData>
    <row r="1" spans="1:10" ht="15" customHeight="1">
      <c r="A1" s="514" t="s">
        <v>1255</v>
      </c>
      <c r="B1" s="515"/>
      <c r="C1" s="516"/>
      <c r="D1" s="515"/>
      <c r="E1" s="517"/>
      <c r="F1" s="515"/>
      <c r="G1" s="516"/>
      <c r="H1" s="516"/>
      <c r="I1" s="518"/>
      <c r="J1" s="262"/>
    </row>
    <row r="2" spans="1:10" ht="15" customHeight="1">
      <c r="A2" s="514" t="s">
        <v>1230</v>
      </c>
      <c r="B2" s="515"/>
      <c r="C2" s="516"/>
      <c r="D2" s="515"/>
      <c r="E2" s="517"/>
      <c r="F2" s="515"/>
      <c r="G2" s="516"/>
      <c r="H2" s="516"/>
      <c r="I2" s="518"/>
      <c r="J2" s="262"/>
    </row>
    <row r="3" spans="1:10" ht="15" customHeight="1">
      <c r="A3" s="514" t="s">
        <v>110</v>
      </c>
      <c r="B3" s="515"/>
      <c r="C3" s="516"/>
      <c r="D3" s="515"/>
      <c r="E3" s="517"/>
      <c r="F3" s="515"/>
      <c r="G3" s="516"/>
      <c r="H3" s="516"/>
      <c r="I3" s="518"/>
      <c r="J3" s="262"/>
    </row>
    <row r="4" spans="1:10" ht="15" customHeight="1">
      <c r="A4" s="514" t="s">
        <v>5</v>
      </c>
      <c r="B4" s="515"/>
      <c r="C4" s="516"/>
      <c r="D4" s="515"/>
      <c r="E4" s="517"/>
      <c r="F4" s="515"/>
      <c r="G4" s="516"/>
      <c r="H4" s="516"/>
      <c r="I4" s="518"/>
      <c r="J4" s="262"/>
    </row>
    <row r="5" spans="1:10" ht="15" customHeight="1">
      <c r="A5" s="514" t="s">
        <v>6</v>
      </c>
      <c r="B5" s="515"/>
      <c r="C5" s="516"/>
      <c r="D5" s="515"/>
      <c r="E5" s="519"/>
      <c r="F5" s="515"/>
      <c r="G5" s="516"/>
      <c r="H5" s="516"/>
      <c r="I5" s="518"/>
      <c r="J5" s="262"/>
    </row>
    <row r="6" spans="1:10" ht="15" customHeight="1">
      <c r="A6" s="514" t="s">
        <v>111</v>
      </c>
      <c r="B6" s="515"/>
      <c r="C6" s="516"/>
      <c r="D6" s="515"/>
      <c r="E6" s="517"/>
      <c r="F6" s="515"/>
      <c r="G6" s="516"/>
      <c r="H6" s="516"/>
      <c r="I6" s="518"/>
      <c r="J6" s="262"/>
    </row>
    <row r="7" spans="1:10" ht="15" customHeight="1">
      <c r="A7" s="514" t="s">
        <v>112</v>
      </c>
      <c r="B7" s="515"/>
      <c r="C7" s="516"/>
      <c r="D7" s="515"/>
      <c r="E7" s="520" t="s">
        <v>113</v>
      </c>
      <c r="F7" s="515"/>
      <c r="G7" s="516"/>
      <c r="H7" s="516"/>
      <c r="I7" s="518"/>
      <c r="J7" s="262"/>
    </row>
    <row r="8" spans="1:10" ht="15" customHeight="1">
      <c r="A8" s="521" t="s">
        <v>1256</v>
      </c>
      <c r="B8" s="522"/>
      <c r="C8" s="523"/>
      <c r="D8" s="522"/>
      <c r="E8" s="524"/>
      <c r="F8" s="522"/>
      <c r="G8" s="523"/>
      <c r="H8" s="523"/>
      <c r="I8" s="525"/>
      <c r="J8" s="262"/>
    </row>
    <row r="9" spans="1:10" ht="15" customHeight="1">
      <c r="A9" s="526"/>
      <c r="B9" s="527" t="s">
        <v>45</v>
      </c>
      <c r="C9" s="528"/>
      <c r="D9" s="527" t="s">
        <v>46</v>
      </c>
      <c r="E9" s="528"/>
      <c r="F9" s="527"/>
      <c r="G9" s="529" t="s">
        <v>47</v>
      </c>
      <c r="H9" s="528"/>
      <c r="I9" s="530"/>
      <c r="J9" s="262"/>
    </row>
    <row r="10" spans="1:10" ht="15" customHeight="1">
      <c r="A10" s="531" t="s">
        <v>461</v>
      </c>
      <c r="B10" s="532" t="s">
        <v>49</v>
      </c>
      <c r="C10" s="533" t="s">
        <v>50</v>
      </c>
      <c r="D10" s="532" t="s">
        <v>49</v>
      </c>
      <c r="E10" s="533" t="s">
        <v>50</v>
      </c>
      <c r="F10" s="532" t="s">
        <v>49</v>
      </c>
      <c r="G10" s="533" t="s">
        <v>50</v>
      </c>
      <c r="H10" s="533" t="s">
        <v>51</v>
      </c>
      <c r="I10" s="534" t="s">
        <v>52</v>
      </c>
      <c r="J10" s="262"/>
    </row>
    <row r="11" spans="1:10" ht="15" customHeight="1">
      <c r="A11" s="535" t="s">
        <v>466</v>
      </c>
      <c r="B11" s="536"/>
      <c r="C11" s="529">
        <v>0</v>
      </c>
      <c r="D11" s="537"/>
      <c r="E11" s="538"/>
      <c r="F11" s="537"/>
      <c r="G11" s="529"/>
      <c r="H11" s="529"/>
      <c r="I11" s="539"/>
      <c r="J11" s="262"/>
    </row>
    <row r="12" spans="1:10" ht="15" customHeight="1">
      <c r="A12" s="526" t="s">
        <v>14</v>
      </c>
      <c r="B12" s="540">
        <f aca="true" t="shared" si="0" ref="B12:H12">SUM(B11)</f>
        <v>0</v>
      </c>
      <c r="C12" s="529">
        <f t="shared" si="0"/>
        <v>0</v>
      </c>
      <c r="D12" s="527">
        <f t="shared" si="0"/>
        <v>0</v>
      </c>
      <c r="E12" s="529">
        <f t="shared" si="0"/>
        <v>0</v>
      </c>
      <c r="F12" s="527">
        <f t="shared" si="0"/>
        <v>0</v>
      </c>
      <c r="G12" s="529">
        <f t="shared" si="0"/>
        <v>0</v>
      </c>
      <c r="H12" s="529">
        <f t="shared" si="0"/>
        <v>0</v>
      </c>
      <c r="I12" s="540" t="e">
        <f>H12/G12</f>
        <v>#DIV/0!</v>
      </c>
      <c r="J12" s="262"/>
    </row>
    <row r="13" spans="1:10" ht="15" customHeight="1">
      <c r="A13" s="531" t="s">
        <v>462</v>
      </c>
      <c r="B13" s="532" t="s">
        <v>49</v>
      </c>
      <c r="C13" s="533" t="s">
        <v>50</v>
      </c>
      <c r="D13" s="532" t="s">
        <v>49</v>
      </c>
      <c r="E13" s="533" t="s">
        <v>50</v>
      </c>
      <c r="F13" s="532" t="s">
        <v>49</v>
      </c>
      <c r="G13" s="533" t="s">
        <v>50</v>
      </c>
      <c r="H13" s="533" t="s">
        <v>51</v>
      </c>
      <c r="I13" s="534" t="s">
        <v>52</v>
      </c>
      <c r="J13" s="262"/>
    </row>
    <row r="14" spans="1:10" ht="15" customHeight="1">
      <c r="A14" s="535" t="s">
        <v>53</v>
      </c>
      <c r="B14" s="541">
        <v>60</v>
      </c>
      <c r="C14" s="542">
        <v>2994</v>
      </c>
      <c r="D14" s="541">
        <v>0</v>
      </c>
      <c r="E14" s="549">
        <v>0</v>
      </c>
      <c r="F14" s="541">
        <v>60</v>
      </c>
      <c r="G14" s="538">
        <v>2994</v>
      </c>
      <c r="H14" s="540" t="s">
        <v>1257</v>
      </c>
      <c r="I14" s="540">
        <v>142.66</v>
      </c>
      <c r="J14" s="262"/>
    </row>
    <row r="15" spans="1:10" ht="15" customHeight="1">
      <c r="A15" s="535" t="s">
        <v>71</v>
      </c>
      <c r="B15" s="541">
        <v>130</v>
      </c>
      <c r="C15" s="542">
        <v>6489.5</v>
      </c>
      <c r="D15" s="541">
        <v>0</v>
      </c>
      <c r="E15" s="549">
        <v>0</v>
      </c>
      <c r="F15" s="541">
        <v>130</v>
      </c>
      <c r="G15" s="538">
        <v>6489.5</v>
      </c>
      <c r="H15" s="540" t="s">
        <v>1258</v>
      </c>
      <c r="I15" s="540">
        <v>147.92</v>
      </c>
      <c r="J15" s="262"/>
    </row>
    <row r="16" spans="1:10" ht="15" customHeight="1">
      <c r="A16" s="535" t="s">
        <v>83</v>
      </c>
      <c r="B16" s="541">
        <v>30</v>
      </c>
      <c r="C16" s="542">
        <v>1497</v>
      </c>
      <c r="D16" s="541">
        <v>0</v>
      </c>
      <c r="E16" s="549">
        <v>0</v>
      </c>
      <c r="F16" s="541">
        <v>30</v>
      </c>
      <c r="G16" s="538">
        <v>1497</v>
      </c>
      <c r="H16" s="540" t="s">
        <v>1259</v>
      </c>
      <c r="I16" s="540">
        <v>141.66</v>
      </c>
      <c r="J16" s="262"/>
    </row>
    <row r="17" spans="1:10" ht="15" customHeight="1">
      <c r="A17" s="535" t="s">
        <v>14</v>
      </c>
      <c r="B17" s="541">
        <v>220</v>
      </c>
      <c r="C17" s="542">
        <v>10980.5</v>
      </c>
      <c r="D17" s="541">
        <v>0</v>
      </c>
      <c r="E17" s="549">
        <v>0</v>
      </c>
      <c r="F17" s="541">
        <v>220</v>
      </c>
      <c r="G17" s="538">
        <v>10980.5</v>
      </c>
      <c r="H17" s="540" t="s">
        <v>1260</v>
      </c>
      <c r="I17" s="540">
        <v>145.63</v>
      </c>
      <c r="J17" s="262"/>
    </row>
    <row r="18" spans="1:10" ht="15" customHeight="1">
      <c r="A18" s="535"/>
      <c r="B18" s="543"/>
      <c r="C18" s="542"/>
      <c r="D18" s="541"/>
      <c r="E18" s="538"/>
      <c r="F18" s="543"/>
      <c r="G18" s="538"/>
      <c r="H18" s="540"/>
      <c r="I18" s="540"/>
      <c r="J18" s="262"/>
    </row>
    <row r="19" spans="1:10" ht="15" customHeight="1">
      <c r="A19" s="544"/>
      <c r="B19" s="527"/>
      <c r="C19" s="529"/>
      <c r="D19" s="527"/>
      <c r="E19" s="529"/>
      <c r="F19" s="527"/>
      <c r="G19" s="529"/>
      <c r="H19" s="529"/>
      <c r="I19" s="540"/>
      <c r="J19" s="262"/>
    </row>
    <row r="20" spans="1:9" ht="15" customHeight="1">
      <c r="A20" s="531"/>
      <c r="B20" s="545"/>
      <c r="C20" s="528"/>
      <c r="D20" s="545"/>
      <c r="E20" s="546"/>
      <c r="F20" s="547"/>
      <c r="G20" s="528" t="s">
        <v>119</v>
      </c>
      <c r="H20" s="528"/>
      <c r="I20" s="530"/>
    </row>
    <row r="21" spans="1:9" ht="15" customHeight="1">
      <c r="A21" s="531"/>
      <c r="B21" s="545"/>
      <c r="C21" s="528"/>
      <c r="D21" s="545"/>
      <c r="E21" s="546"/>
      <c r="F21" s="546"/>
      <c r="G21" s="548" t="s">
        <v>121</v>
      </c>
      <c r="H21" s="528"/>
      <c r="I21" s="530"/>
    </row>
    <row r="22" spans="1:9" ht="15" customHeight="1">
      <c r="A22" s="514" t="s">
        <v>117</v>
      </c>
      <c r="B22" s="545"/>
      <c r="C22" s="528"/>
      <c r="D22" s="545"/>
      <c r="E22" s="546"/>
      <c r="F22" s="545"/>
      <c r="G22" s="528"/>
      <c r="H22" s="528"/>
      <c r="I22" s="530"/>
    </row>
    <row r="23" spans="1:9" ht="15" customHeight="1">
      <c r="A23" s="514" t="s">
        <v>118</v>
      </c>
      <c r="B23" s="545"/>
      <c r="C23" s="528"/>
      <c r="D23" s="545"/>
      <c r="E23" s="546"/>
      <c r="F23" s="545"/>
      <c r="G23" s="528"/>
      <c r="H23" s="528"/>
      <c r="I23" s="530"/>
    </row>
    <row r="24" spans="1:9" ht="15" customHeight="1">
      <c r="A24" s="514" t="s">
        <v>120</v>
      </c>
      <c r="B24" s="545"/>
      <c r="C24" s="528"/>
      <c r="D24" s="545"/>
      <c r="E24" s="546"/>
      <c r="F24" s="545"/>
      <c r="G24" s="528"/>
      <c r="H24" s="528"/>
      <c r="I24" s="530"/>
    </row>
    <row r="25" spans="1:9" ht="15" customHeight="1">
      <c r="A25" s="514" t="s">
        <v>122</v>
      </c>
      <c r="B25" s="545"/>
      <c r="C25" s="528"/>
      <c r="D25" s="545"/>
      <c r="E25" s="546"/>
      <c r="F25" s="545"/>
      <c r="G25" s="528"/>
      <c r="H25" s="528"/>
      <c r="I25" s="530"/>
    </row>
    <row r="26" spans="1:9" ht="15" customHeight="1">
      <c r="A26" s="514" t="s">
        <v>123</v>
      </c>
      <c r="B26" s="545"/>
      <c r="C26" s="528"/>
      <c r="D26" s="545"/>
      <c r="E26" s="546"/>
      <c r="F26" s="545"/>
      <c r="G26" s="528"/>
      <c r="H26" s="528"/>
      <c r="I26" s="530"/>
    </row>
    <row r="27" spans="1:9" ht="15" customHeight="1">
      <c r="A27" s="509"/>
      <c r="B27" s="512"/>
      <c r="C27" s="510"/>
      <c r="D27" s="512"/>
      <c r="E27" s="513"/>
      <c r="F27" s="512"/>
      <c r="G27" s="510"/>
      <c r="H27" s="510"/>
      <c r="I27" s="511"/>
    </row>
    <row r="28" spans="1:9" ht="15" customHeight="1">
      <c r="A28" s="114"/>
      <c r="B28" s="355"/>
      <c r="C28" s="342"/>
      <c r="D28" s="355"/>
      <c r="E28" s="117"/>
      <c r="F28" s="355"/>
      <c r="G28" s="342"/>
      <c r="H28" s="342"/>
      <c r="I28" s="118"/>
    </row>
    <row r="29" spans="1:9" ht="15" customHeight="1">
      <c r="A29" s="114"/>
      <c r="B29" s="355"/>
      <c r="C29" s="342"/>
      <c r="D29" s="355"/>
      <c r="E29" s="117"/>
      <c r="F29" s="355"/>
      <c r="G29" s="342"/>
      <c r="H29" s="342"/>
      <c r="I29" s="118"/>
    </row>
    <row r="30" spans="1:9" ht="15" customHeight="1">
      <c r="A30" s="114"/>
      <c r="B30" s="355"/>
      <c r="C30" s="342"/>
      <c r="D30" s="355"/>
      <c r="E30" s="117"/>
      <c r="F30" s="355"/>
      <c r="G30" s="342"/>
      <c r="H30" s="342"/>
      <c r="I30" s="118"/>
    </row>
    <row r="31" spans="1:9" ht="15" customHeight="1">
      <c r="A31" s="114"/>
      <c r="B31" s="355"/>
      <c r="C31" s="342"/>
      <c r="D31" s="355"/>
      <c r="E31" s="117"/>
      <c r="F31" s="355"/>
      <c r="G31" s="342"/>
      <c r="H31" s="342"/>
      <c r="I31" s="118"/>
    </row>
    <row r="32" spans="1:9" ht="15" customHeight="1">
      <c r="A32" s="114"/>
      <c r="B32" s="355"/>
      <c r="C32" s="342"/>
      <c r="D32" s="355"/>
      <c r="E32" s="117"/>
      <c r="F32" s="355"/>
      <c r="G32" s="342"/>
      <c r="H32" s="342"/>
      <c r="I32" s="118"/>
    </row>
    <row r="33" ht="15" customHeight="1">
      <c r="A33" s="1"/>
    </row>
    <row r="34" spans="1:15" s="31" customFormat="1" ht="15" customHeight="1">
      <c r="A34" s="1"/>
      <c r="C34" s="360"/>
      <c r="E34" s="244"/>
      <c r="G34" s="360"/>
      <c r="H34" s="360"/>
      <c r="I34" s="48"/>
      <c r="J34" s="378"/>
      <c r="K34" s="378"/>
      <c r="L34" s="378"/>
      <c r="M34" s="378"/>
      <c r="N34" s="378"/>
      <c r="O34" s="378"/>
    </row>
    <row r="35" spans="1:15" s="31" customFormat="1" ht="15" customHeight="1">
      <c r="A35" s="1"/>
      <c r="C35" s="360"/>
      <c r="E35" s="244"/>
      <c r="G35" s="360"/>
      <c r="H35" s="360"/>
      <c r="I35" s="48"/>
      <c r="J35" s="378"/>
      <c r="K35" s="378"/>
      <c r="L35" s="378"/>
      <c r="M35" s="378"/>
      <c r="N35" s="378"/>
      <c r="O35" s="378"/>
    </row>
    <row r="36" spans="1:15" s="31" customFormat="1" ht="15" customHeight="1">
      <c r="A36" s="1"/>
      <c r="C36" s="360"/>
      <c r="E36" s="244"/>
      <c r="G36" s="360"/>
      <c r="H36" s="360"/>
      <c r="I36" s="48"/>
      <c r="J36" s="378"/>
      <c r="K36" s="378"/>
      <c r="L36" s="378"/>
      <c r="M36" s="378"/>
      <c r="N36" s="378"/>
      <c r="O36" s="378"/>
    </row>
    <row r="37" spans="1:15" s="31" customFormat="1" ht="15" customHeight="1">
      <c r="A37" s="1"/>
      <c r="C37" s="360"/>
      <c r="E37" s="244"/>
      <c r="G37" s="360"/>
      <c r="H37" s="360"/>
      <c r="I37" s="48"/>
      <c r="J37" s="378"/>
      <c r="K37" s="378"/>
      <c r="L37" s="378"/>
      <c r="M37" s="378"/>
      <c r="N37" s="378"/>
      <c r="O37" s="378"/>
    </row>
  </sheetData>
  <sheetProtection/>
  <printOptions/>
  <pageMargins left="0.7" right="0.7" top="0.58" bottom="0.5" header="0.3" footer="0.3"/>
  <pageSetup horizontalDpi="600" verticalDpi="600" orientation="portrait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A29" sqref="A29"/>
    </sheetView>
  </sheetViews>
  <sheetFormatPr defaultColWidth="9.140625" defaultRowHeight="12.75" customHeight="1"/>
  <cols>
    <col min="1" max="1" width="27.7109375" style="378" customWidth="1"/>
    <col min="2" max="2" width="7.140625" style="31" customWidth="1"/>
    <col min="3" max="3" width="10.28125" style="360" customWidth="1"/>
    <col min="4" max="4" width="7.421875" style="31" customWidth="1"/>
    <col min="5" max="5" width="9.28125" style="244" customWidth="1"/>
    <col min="6" max="6" width="7.140625" style="31" customWidth="1"/>
    <col min="7" max="7" width="10.00390625" style="360" customWidth="1"/>
    <col min="8" max="8" width="14.00390625" style="48" customWidth="1"/>
    <col min="9" max="9" width="9.28125" style="48" customWidth="1"/>
    <col min="10" max="15" width="8.8515625" style="378" customWidth="1"/>
    <col min="16" max="16" width="12.7109375" style="378" bestFit="1" customWidth="1"/>
    <col min="17" max="16384" width="8.8515625" style="378" customWidth="1"/>
  </cols>
  <sheetData>
    <row r="1" spans="1:11" ht="12.75" customHeight="1">
      <c r="A1" s="329" t="s">
        <v>1204</v>
      </c>
      <c r="B1" s="330"/>
      <c r="C1" s="331"/>
      <c r="D1" s="330"/>
      <c r="E1" s="332"/>
      <c r="F1" s="330"/>
      <c r="G1" s="331"/>
      <c r="H1" s="333"/>
      <c r="I1" s="333"/>
      <c r="J1" s="33"/>
      <c r="K1" s="262"/>
    </row>
    <row r="2" spans="1:11" ht="12.75" customHeight="1">
      <c r="A2" s="329" t="s">
        <v>1205</v>
      </c>
      <c r="B2" s="330"/>
      <c r="C2" s="331"/>
      <c r="D2" s="330"/>
      <c r="E2" s="332"/>
      <c r="F2" s="330"/>
      <c r="G2" s="331"/>
      <c r="H2" s="333"/>
      <c r="I2" s="333"/>
      <c r="J2" s="33"/>
      <c r="K2" s="262"/>
    </row>
    <row r="3" spans="1:11" ht="12.75" customHeight="1">
      <c r="A3" s="329" t="s">
        <v>110</v>
      </c>
      <c r="B3" s="330"/>
      <c r="C3" s="331"/>
      <c r="D3" s="330"/>
      <c r="E3" s="332"/>
      <c r="F3" s="330"/>
      <c r="G3" s="331"/>
      <c r="H3" s="333"/>
      <c r="I3" s="333"/>
      <c r="J3" s="33"/>
      <c r="K3" s="262"/>
    </row>
    <row r="4" spans="1:11" ht="12.75" customHeight="1">
      <c r="A4" s="329" t="s">
        <v>5</v>
      </c>
      <c r="B4" s="330"/>
      <c r="C4" s="331"/>
      <c r="D4" s="330"/>
      <c r="E4" s="332"/>
      <c r="F4" s="330"/>
      <c r="G4" s="331"/>
      <c r="H4" s="333"/>
      <c r="I4" s="333"/>
      <c r="J4" s="33"/>
      <c r="K4" s="262"/>
    </row>
    <row r="5" spans="1:11" ht="12.75" customHeight="1">
      <c r="A5" s="329" t="s">
        <v>6</v>
      </c>
      <c r="B5" s="330"/>
      <c r="C5" s="331"/>
      <c r="D5" s="330"/>
      <c r="E5" s="334"/>
      <c r="F5" s="330"/>
      <c r="G5" s="331"/>
      <c r="H5" s="333"/>
      <c r="I5" s="333"/>
      <c r="J5" s="33"/>
      <c r="K5" s="262"/>
    </row>
    <row r="6" spans="1:11" ht="12.75" customHeight="1">
      <c r="A6" s="329" t="s">
        <v>111</v>
      </c>
      <c r="B6" s="330"/>
      <c r="C6" s="331"/>
      <c r="D6" s="330"/>
      <c r="E6" s="332"/>
      <c r="F6" s="330"/>
      <c r="G6" s="331"/>
      <c r="H6" s="333"/>
      <c r="I6" s="333"/>
      <c r="J6" s="33"/>
      <c r="K6" s="262"/>
    </row>
    <row r="7" spans="1:11" ht="12.75" customHeight="1">
      <c r="A7" s="329" t="s">
        <v>112</v>
      </c>
      <c r="B7" s="330"/>
      <c r="C7" s="331"/>
      <c r="D7" s="330"/>
      <c r="E7" s="335" t="s">
        <v>113</v>
      </c>
      <c r="F7" s="330"/>
      <c r="G7" s="331"/>
      <c r="H7" s="333"/>
      <c r="I7" s="333"/>
      <c r="J7" s="33"/>
      <c r="K7" s="262"/>
    </row>
    <row r="8" spans="1:11" ht="12.75" customHeight="1">
      <c r="A8" s="336" t="s">
        <v>1206</v>
      </c>
      <c r="B8" s="337"/>
      <c r="C8" s="338"/>
      <c r="D8" s="337"/>
      <c r="E8" s="339"/>
      <c r="F8" s="337"/>
      <c r="G8" s="338"/>
      <c r="H8" s="340"/>
      <c r="I8" s="340"/>
      <c r="J8" s="33"/>
      <c r="K8" s="262"/>
    </row>
    <row r="9" spans="1:11" ht="12.75" customHeight="1">
      <c r="A9" s="114"/>
      <c r="B9" s="341" t="s">
        <v>45</v>
      </c>
      <c r="C9" s="342"/>
      <c r="D9" s="341" t="s">
        <v>46</v>
      </c>
      <c r="E9" s="342"/>
      <c r="F9" s="341"/>
      <c r="G9" s="343" t="s">
        <v>47</v>
      </c>
      <c r="H9" s="118"/>
      <c r="I9" s="118"/>
      <c r="J9" s="33"/>
      <c r="K9" s="262"/>
    </row>
    <row r="10" spans="1:11" ht="12.75" customHeight="1">
      <c r="A10" s="344" t="s">
        <v>461</v>
      </c>
      <c r="B10" s="345" t="s">
        <v>49</v>
      </c>
      <c r="C10" s="346" t="s">
        <v>50</v>
      </c>
      <c r="D10" s="345" t="s">
        <v>49</v>
      </c>
      <c r="E10" s="346" t="s">
        <v>50</v>
      </c>
      <c r="F10" s="345" t="s">
        <v>49</v>
      </c>
      <c r="G10" s="346" t="s">
        <v>50</v>
      </c>
      <c r="H10" s="347" t="s">
        <v>51</v>
      </c>
      <c r="I10" s="347" t="s">
        <v>52</v>
      </c>
      <c r="J10" s="33"/>
      <c r="K10" s="262"/>
    </row>
    <row r="11" spans="1:11" ht="12.75" customHeight="1">
      <c r="A11" s="119" t="s">
        <v>466</v>
      </c>
      <c r="B11" s="348"/>
      <c r="C11" s="343">
        <v>0</v>
      </c>
      <c r="D11" s="115"/>
      <c r="E11" s="121"/>
      <c r="F11" s="115"/>
      <c r="G11" s="343"/>
      <c r="H11" s="122"/>
      <c r="I11" s="350"/>
      <c r="J11" s="33"/>
      <c r="K11" s="262"/>
    </row>
    <row r="12" spans="1:11" ht="12.75" customHeight="1">
      <c r="A12" s="114" t="s">
        <v>14</v>
      </c>
      <c r="B12" s="122">
        <f aca="true" t="shared" si="0" ref="B12:H12">SUM(B11)</f>
        <v>0</v>
      </c>
      <c r="C12" s="343">
        <f t="shared" si="0"/>
        <v>0</v>
      </c>
      <c r="D12" s="341">
        <f t="shared" si="0"/>
        <v>0</v>
      </c>
      <c r="E12" s="343">
        <f t="shared" si="0"/>
        <v>0</v>
      </c>
      <c r="F12" s="341">
        <f t="shared" si="0"/>
        <v>0</v>
      </c>
      <c r="G12" s="343">
        <f t="shared" si="0"/>
        <v>0</v>
      </c>
      <c r="H12" s="122">
        <f t="shared" si="0"/>
        <v>0</v>
      </c>
      <c r="I12" s="122" t="e">
        <f>H12/G12</f>
        <v>#DIV/0!</v>
      </c>
      <c r="J12" s="33"/>
      <c r="K12" s="262"/>
    </row>
    <row r="13" spans="1:11" ht="12.75" customHeight="1">
      <c r="A13" s="344" t="s">
        <v>462</v>
      </c>
      <c r="B13" s="345" t="s">
        <v>49</v>
      </c>
      <c r="C13" s="346" t="s">
        <v>50</v>
      </c>
      <c r="D13" s="345" t="s">
        <v>49</v>
      </c>
      <c r="E13" s="346" t="s">
        <v>50</v>
      </c>
      <c r="F13" s="345" t="s">
        <v>49</v>
      </c>
      <c r="G13" s="346" t="s">
        <v>50</v>
      </c>
      <c r="H13" s="347" t="s">
        <v>51</v>
      </c>
      <c r="I13" s="347" t="s">
        <v>52</v>
      </c>
      <c r="J13" s="33"/>
      <c r="K13" s="262"/>
    </row>
    <row r="14" spans="1:11" ht="12.75" customHeight="1">
      <c r="A14" s="351" t="s">
        <v>53</v>
      </c>
      <c r="B14" s="341">
        <v>718</v>
      </c>
      <c r="C14" s="343">
        <v>35820.5</v>
      </c>
      <c r="D14" s="341">
        <v>0</v>
      </c>
      <c r="E14" s="343">
        <v>0</v>
      </c>
      <c r="F14" s="341">
        <v>718</v>
      </c>
      <c r="G14" s="343">
        <v>35820.5</v>
      </c>
      <c r="H14" s="122" t="s">
        <v>1178</v>
      </c>
      <c r="I14" s="122">
        <v>162.76</v>
      </c>
      <c r="J14" s="33"/>
      <c r="K14" s="262"/>
    </row>
    <row r="15" spans="1:11" ht="12.75" customHeight="1">
      <c r="A15" s="351" t="s">
        <v>322</v>
      </c>
      <c r="B15" s="341">
        <v>65</v>
      </c>
      <c r="C15" s="343">
        <v>3241</v>
      </c>
      <c r="D15" s="341">
        <v>45</v>
      </c>
      <c r="E15" s="343">
        <v>2235.2</v>
      </c>
      <c r="F15" s="341">
        <v>110</v>
      </c>
      <c r="G15" s="343">
        <v>5476.2</v>
      </c>
      <c r="H15" s="122" t="s">
        <v>1179</v>
      </c>
      <c r="I15" s="122">
        <v>155.09</v>
      </c>
      <c r="J15" s="33"/>
      <c r="K15" s="262"/>
    </row>
    <row r="16" spans="1:11" ht="12.75" customHeight="1">
      <c r="A16" s="351" t="s">
        <v>469</v>
      </c>
      <c r="B16" s="341"/>
      <c r="C16" s="343">
        <v>0</v>
      </c>
      <c r="D16" s="341">
        <v>15</v>
      </c>
      <c r="E16" s="343">
        <v>747.9</v>
      </c>
      <c r="F16" s="341">
        <v>15</v>
      </c>
      <c r="G16" s="343">
        <v>747.9</v>
      </c>
      <c r="H16" s="122">
        <v>87743.3</v>
      </c>
      <c r="I16" s="122">
        <v>117.32</v>
      </c>
      <c r="J16" s="33"/>
      <c r="K16" s="262"/>
    </row>
    <row r="17" spans="1:11" ht="12.75" customHeight="1">
      <c r="A17" s="351" t="s">
        <v>128</v>
      </c>
      <c r="B17" s="341">
        <v>160</v>
      </c>
      <c r="C17" s="343">
        <v>7973</v>
      </c>
      <c r="D17" s="341">
        <v>10</v>
      </c>
      <c r="E17" s="343">
        <v>498.7</v>
      </c>
      <c r="F17" s="341">
        <v>170</v>
      </c>
      <c r="G17" s="343">
        <v>8471.7</v>
      </c>
      <c r="H17" s="122" t="s">
        <v>1180</v>
      </c>
      <c r="I17" s="122">
        <v>101.95</v>
      </c>
      <c r="J17" s="33"/>
      <c r="K17" s="262"/>
    </row>
    <row r="18" spans="1:11" ht="12.75" customHeight="1">
      <c r="A18" s="351" t="s">
        <v>640</v>
      </c>
      <c r="B18" s="341"/>
      <c r="C18" s="343">
        <v>0</v>
      </c>
      <c r="D18" s="341">
        <v>40</v>
      </c>
      <c r="E18" s="343">
        <v>1993.6</v>
      </c>
      <c r="F18" s="341">
        <v>40</v>
      </c>
      <c r="G18" s="343">
        <v>1993.6</v>
      </c>
      <c r="H18" s="122" t="s">
        <v>1181</v>
      </c>
      <c r="I18" s="122">
        <v>241.88</v>
      </c>
      <c r="J18" s="33"/>
      <c r="K18" s="262"/>
    </row>
    <row r="19" spans="1:11" ht="12.75" customHeight="1">
      <c r="A19" s="351" t="s">
        <v>57</v>
      </c>
      <c r="B19" s="341">
        <v>60</v>
      </c>
      <c r="C19" s="343">
        <v>2994</v>
      </c>
      <c r="D19" s="341">
        <v>0</v>
      </c>
      <c r="E19" s="343">
        <v>0</v>
      </c>
      <c r="F19" s="341">
        <v>60</v>
      </c>
      <c r="G19" s="343">
        <v>2994</v>
      </c>
      <c r="H19" s="122" t="s">
        <v>1182</v>
      </c>
      <c r="I19" s="122">
        <v>153.84</v>
      </c>
      <c r="J19" s="33"/>
      <c r="K19" s="262"/>
    </row>
    <row r="20" spans="1:11" ht="12.75" customHeight="1">
      <c r="A20" s="351" t="s">
        <v>174</v>
      </c>
      <c r="B20" s="341">
        <v>55</v>
      </c>
      <c r="C20" s="343">
        <v>2745.5</v>
      </c>
      <c r="D20" s="341">
        <v>0</v>
      </c>
      <c r="E20" s="343">
        <v>0</v>
      </c>
      <c r="F20" s="341">
        <v>55</v>
      </c>
      <c r="G20" s="343">
        <v>2745.5</v>
      </c>
      <c r="H20" s="122" t="s">
        <v>1183</v>
      </c>
      <c r="I20" s="122">
        <v>109.81</v>
      </c>
      <c r="J20" s="33"/>
      <c r="K20" s="262"/>
    </row>
    <row r="21" spans="1:11" ht="12.75" customHeight="1">
      <c r="A21" s="351" t="s">
        <v>208</v>
      </c>
      <c r="B21" s="341">
        <v>90</v>
      </c>
      <c r="C21" s="343">
        <v>4492.5</v>
      </c>
      <c r="D21" s="341">
        <v>0</v>
      </c>
      <c r="E21" s="343">
        <v>0</v>
      </c>
      <c r="F21" s="341">
        <v>90</v>
      </c>
      <c r="G21" s="343">
        <v>4492.5</v>
      </c>
      <c r="H21" s="122" t="s">
        <v>1184</v>
      </c>
      <c r="I21" s="122">
        <v>132.22</v>
      </c>
      <c r="J21" s="33"/>
      <c r="K21" s="262"/>
    </row>
    <row r="22" spans="1:11" ht="12.75" customHeight="1">
      <c r="A22" s="351" t="s">
        <v>176</v>
      </c>
      <c r="B22" s="341"/>
      <c r="C22" s="343">
        <v>0</v>
      </c>
      <c r="D22" s="341">
        <v>15</v>
      </c>
      <c r="E22" s="343">
        <v>748.7</v>
      </c>
      <c r="F22" s="341">
        <v>15</v>
      </c>
      <c r="G22" s="343">
        <v>748.7</v>
      </c>
      <c r="H22" s="122" t="s">
        <v>1185</v>
      </c>
      <c r="I22" s="122">
        <v>163.67</v>
      </c>
      <c r="J22" s="33"/>
      <c r="K22" s="262"/>
    </row>
    <row r="23" spans="1:11" ht="12.75" customHeight="1">
      <c r="A23" s="351" t="s">
        <v>475</v>
      </c>
      <c r="B23" s="341">
        <v>45</v>
      </c>
      <c r="C23" s="343">
        <v>2244</v>
      </c>
      <c r="D23" s="341">
        <v>0</v>
      </c>
      <c r="E23" s="343">
        <v>0</v>
      </c>
      <c r="F23" s="341">
        <v>45</v>
      </c>
      <c r="G23" s="343">
        <v>2244</v>
      </c>
      <c r="H23" s="122" t="s">
        <v>1186</v>
      </c>
      <c r="I23" s="122">
        <v>184.88</v>
      </c>
      <c r="J23" s="33"/>
      <c r="K23" s="262"/>
    </row>
    <row r="24" spans="1:11" ht="12.75" customHeight="1">
      <c r="A24" s="351" t="s">
        <v>67</v>
      </c>
      <c r="B24" s="341">
        <v>45</v>
      </c>
      <c r="C24" s="343">
        <v>2245.5</v>
      </c>
      <c r="D24" s="341">
        <v>40</v>
      </c>
      <c r="E24" s="343">
        <v>1996.8</v>
      </c>
      <c r="F24" s="341">
        <v>85</v>
      </c>
      <c r="G24" s="343">
        <v>4242.3</v>
      </c>
      <c r="H24" s="122" t="s">
        <v>1187</v>
      </c>
      <c r="I24" s="122">
        <v>160.41</v>
      </c>
      <c r="J24" s="33"/>
      <c r="K24" s="262"/>
    </row>
    <row r="25" spans="1:11" ht="12.75" customHeight="1">
      <c r="A25" s="351" t="s">
        <v>71</v>
      </c>
      <c r="B25" s="341">
        <v>515</v>
      </c>
      <c r="C25" s="343">
        <v>25709.5</v>
      </c>
      <c r="D25" s="341">
        <v>195</v>
      </c>
      <c r="E25" s="343">
        <v>9733</v>
      </c>
      <c r="F25" s="341">
        <v>710</v>
      </c>
      <c r="G25" s="343">
        <v>35442.5</v>
      </c>
      <c r="H25" s="122" t="s">
        <v>1188</v>
      </c>
      <c r="I25" s="122">
        <v>165.44</v>
      </c>
      <c r="J25" s="33"/>
      <c r="K25" s="262"/>
    </row>
    <row r="26" spans="1:11" ht="12.75" customHeight="1">
      <c r="A26" s="351" t="s">
        <v>1019</v>
      </c>
      <c r="B26" s="341"/>
      <c r="C26" s="343">
        <v>0</v>
      </c>
      <c r="D26" s="341">
        <v>42</v>
      </c>
      <c r="E26" s="343">
        <v>2093.1</v>
      </c>
      <c r="F26" s="341">
        <v>42</v>
      </c>
      <c r="G26" s="343">
        <v>2093.1</v>
      </c>
      <c r="H26" s="122" t="s">
        <v>1189</v>
      </c>
      <c r="I26" s="122">
        <v>163.41</v>
      </c>
      <c r="J26" s="33"/>
      <c r="K26" s="262"/>
    </row>
    <row r="27" spans="1:11" ht="12.75" customHeight="1">
      <c r="A27" s="351" t="s">
        <v>75</v>
      </c>
      <c r="B27" s="341">
        <v>50</v>
      </c>
      <c r="C27" s="343">
        <v>2494</v>
      </c>
      <c r="D27" s="341">
        <v>95</v>
      </c>
      <c r="E27" s="343">
        <v>4736.2</v>
      </c>
      <c r="F27" s="341">
        <v>145</v>
      </c>
      <c r="G27" s="343">
        <v>7230.2</v>
      </c>
      <c r="H27" s="122">
        <v>1145739.4</v>
      </c>
      <c r="I27" s="122">
        <v>158.46579624353404</v>
      </c>
      <c r="J27" s="33"/>
      <c r="K27" s="262"/>
    </row>
    <row r="28" spans="1:11" ht="12.75" customHeight="1">
      <c r="A28" s="351" t="s">
        <v>77</v>
      </c>
      <c r="B28" s="341">
        <v>85</v>
      </c>
      <c r="C28" s="343">
        <v>4236.5</v>
      </c>
      <c r="D28" s="341">
        <v>65</v>
      </c>
      <c r="E28" s="343">
        <v>3238</v>
      </c>
      <c r="F28" s="341">
        <v>150</v>
      </c>
      <c r="G28" s="343">
        <v>7474.5</v>
      </c>
      <c r="H28" s="122" t="s">
        <v>1190</v>
      </c>
      <c r="I28" s="122">
        <v>139.8</v>
      </c>
      <c r="J28" s="33"/>
      <c r="K28" s="262"/>
    </row>
    <row r="29" spans="1:11" ht="12.75" customHeight="1">
      <c r="A29" s="351" t="s">
        <v>445</v>
      </c>
      <c r="B29" s="341"/>
      <c r="C29" s="343">
        <v>0</v>
      </c>
      <c r="D29" s="341">
        <v>3</v>
      </c>
      <c r="E29" s="343">
        <v>148.5</v>
      </c>
      <c r="F29" s="341">
        <v>3</v>
      </c>
      <c r="G29" s="343">
        <v>148.5</v>
      </c>
      <c r="H29" s="122">
        <v>33858</v>
      </c>
      <c r="I29" s="122">
        <v>228</v>
      </c>
      <c r="J29" s="33"/>
      <c r="K29" s="262"/>
    </row>
    <row r="30" spans="1:11" ht="12.75" customHeight="1">
      <c r="A30" s="351" t="s">
        <v>882</v>
      </c>
      <c r="B30" s="341">
        <v>25</v>
      </c>
      <c r="C30" s="343">
        <v>1248.5</v>
      </c>
      <c r="D30" s="341">
        <v>0</v>
      </c>
      <c r="E30" s="343">
        <v>0</v>
      </c>
      <c r="F30" s="341">
        <v>25</v>
      </c>
      <c r="G30" s="343">
        <v>1248.5</v>
      </c>
      <c r="H30" s="122" t="s">
        <v>1191</v>
      </c>
      <c r="I30" s="122">
        <v>116.59</v>
      </c>
      <c r="J30" s="33"/>
      <c r="K30" s="262"/>
    </row>
    <row r="31" spans="1:11" ht="12.75" customHeight="1">
      <c r="A31" s="351" t="s">
        <v>79</v>
      </c>
      <c r="B31" s="341"/>
      <c r="C31" s="343">
        <v>0</v>
      </c>
      <c r="D31" s="341">
        <v>5</v>
      </c>
      <c r="E31" s="343">
        <v>249</v>
      </c>
      <c r="F31" s="341">
        <v>5</v>
      </c>
      <c r="G31" s="343">
        <v>249</v>
      </c>
      <c r="H31" s="122">
        <v>66234</v>
      </c>
      <c r="I31" s="122">
        <v>266</v>
      </c>
      <c r="J31" s="33"/>
      <c r="K31" s="262"/>
    </row>
    <row r="32" spans="1:11" ht="12.75" customHeight="1">
      <c r="A32" s="351" t="s">
        <v>221</v>
      </c>
      <c r="B32" s="341"/>
      <c r="C32" s="343">
        <v>0</v>
      </c>
      <c r="D32" s="341">
        <v>40</v>
      </c>
      <c r="E32" s="343">
        <v>1996.8</v>
      </c>
      <c r="F32" s="341">
        <v>40</v>
      </c>
      <c r="G32" s="343">
        <v>1996.8</v>
      </c>
      <c r="H32" s="122" t="s">
        <v>1073</v>
      </c>
      <c r="I32" s="122">
        <v>140.25</v>
      </c>
      <c r="J32" s="33"/>
      <c r="K32" s="262"/>
    </row>
    <row r="33" spans="1:11" ht="12.75" customHeight="1">
      <c r="A33" s="351" t="s">
        <v>83</v>
      </c>
      <c r="B33" s="341">
        <v>185</v>
      </c>
      <c r="C33" s="343">
        <v>9224.5</v>
      </c>
      <c r="D33" s="341">
        <v>20</v>
      </c>
      <c r="E33" s="343">
        <v>998.4</v>
      </c>
      <c r="F33" s="341">
        <v>205</v>
      </c>
      <c r="G33" s="343">
        <v>10222.9</v>
      </c>
      <c r="H33" s="122" t="s">
        <v>1192</v>
      </c>
      <c r="I33" s="122">
        <v>154.83</v>
      </c>
      <c r="J33" s="33"/>
      <c r="K33" s="262"/>
    </row>
    <row r="34" spans="1:11" ht="12.75" customHeight="1">
      <c r="A34" s="351" t="s">
        <v>85</v>
      </c>
      <c r="B34" s="341">
        <v>100</v>
      </c>
      <c r="C34" s="343">
        <v>4979</v>
      </c>
      <c r="D34" s="341">
        <v>0</v>
      </c>
      <c r="E34" s="343">
        <v>0</v>
      </c>
      <c r="F34" s="341">
        <v>100</v>
      </c>
      <c r="G34" s="343">
        <v>4979</v>
      </c>
      <c r="H34" s="122" t="s">
        <v>1193</v>
      </c>
      <c r="I34" s="122">
        <v>112.73</v>
      </c>
      <c r="J34" s="33"/>
      <c r="K34" s="262"/>
    </row>
    <row r="35" spans="1:11" ht="12.75" customHeight="1">
      <c r="A35" s="351" t="s">
        <v>87</v>
      </c>
      <c r="B35" s="341">
        <v>30</v>
      </c>
      <c r="C35" s="343">
        <v>1497</v>
      </c>
      <c r="D35" s="341">
        <v>0</v>
      </c>
      <c r="E35" s="343">
        <v>0</v>
      </c>
      <c r="F35" s="341">
        <v>30</v>
      </c>
      <c r="G35" s="343">
        <v>1497</v>
      </c>
      <c r="H35" s="122" t="s">
        <v>1194</v>
      </c>
      <c r="I35" s="122">
        <v>98.34</v>
      </c>
      <c r="J35" s="33"/>
      <c r="K35" s="262"/>
    </row>
    <row r="36" spans="1:11" ht="12.75" customHeight="1">
      <c r="A36" s="351" t="s">
        <v>344</v>
      </c>
      <c r="B36" s="341">
        <v>50</v>
      </c>
      <c r="C36" s="343">
        <v>2495.5</v>
      </c>
      <c r="D36" s="341">
        <v>0</v>
      </c>
      <c r="E36" s="343">
        <v>0</v>
      </c>
      <c r="F36" s="341">
        <v>50</v>
      </c>
      <c r="G36" s="343">
        <v>2495.5</v>
      </c>
      <c r="H36" s="122" t="s">
        <v>1195</v>
      </c>
      <c r="I36" s="122">
        <v>199</v>
      </c>
      <c r="J36" s="33"/>
      <c r="K36" s="262"/>
    </row>
    <row r="37" spans="1:11" ht="12.75" customHeight="1">
      <c r="A37" s="351" t="s">
        <v>150</v>
      </c>
      <c r="B37" s="341">
        <v>15</v>
      </c>
      <c r="C37" s="343">
        <v>745.5</v>
      </c>
      <c r="D37" s="341">
        <v>0</v>
      </c>
      <c r="E37" s="343">
        <v>0</v>
      </c>
      <c r="F37" s="341">
        <v>15</v>
      </c>
      <c r="G37" s="343">
        <v>745.5</v>
      </c>
      <c r="H37" s="122" t="s">
        <v>1196</v>
      </c>
      <c r="I37" s="122">
        <v>200</v>
      </c>
      <c r="J37" s="33"/>
      <c r="K37" s="262"/>
    </row>
    <row r="38" spans="1:11" ht="12.75" customHeight="1">
      <c r="A38" s="351" t="s">
        <v>92</v>
      </c>
      <c r="B38" s="341"/>
      <c r="C38" s="343">
        <v>0</v>
      </c>
      <c r="D38" s="341">
        <v>30</v>
      </c>
      <c r="E38" s="343">
        <v>1496.8</v>
      </c>
      <c r="F38" s="341">
        <v>30</v>
      </c>
      <c r="G38" s="343">
        <v>1496.8</v>
      </c>
      <c r="H38" s="122" t="s">
        <v>1197</v>
      </c>
      <c r="I38" s="122">
        <v>184.34</v>
      </c>
      <c r="J38" s="33"/>
      <c r="K38" s="262"/>
    </row>
    <row r="39" spans="1:11" ht="12.75" customHeight="1">
      <c r="A39" s="351" t="s">
        <v>233</v>
      </c>
      <c r="B39" s="341">
        <v>10</v>
      </c>
      <c r="C39" s="343">
        <v>500</v>
      </c>
      <c r="D39" s="341">
        <v>0</v>
      </c>
      <c r="E39" s="343">
        <v>0</v>
      </c>
      <c r="F39" s="341">
        <v>10</v>
      </c>
      <c r="G39" s="343">
        <v>500</v>
      </c>
      <c r="H39" s="122">
        <v>62500</v>
      </c>
      <c r="I39" s="122">
        <v>125</v>
      </c>
      <c r="J39" s="33"/>
      <c r="K39" s="262"/>
    </row>
    <row r="40" spans="1:11" ht="12.75" customHeight="1">
      <c r="A40" s="351" t="s">
        <v>94</v>
      </c>
      <c r="B40" s="341">
        <v>50</v>
      </c>
      <c r="C40" s="343">
        <v>2492.5</v>
      </c>
      <c r="D40" s="341">
        <v>10</v>
      </c>
      <c r="E40" s="343">
        <v>498.4</v>
      </c>
      <c r="F40" s="341">
        <v>60</v>
      </c>
      <c r="G40" s="343">
        <v>2990.9</v>
      </c>
      <c r="H40" s="122" t="s">
        <v>1198</v>
      </c>
      <c r="I40" s="122">
        <v>177.9</v>
      </c>
      <c r="J40" s="33"/>
      <c r="K40" s="262"/>
    </row>
    <row r="41" spans="1:11" ht="12.75" customHeight="1">
      <c r="A41" s="351" t="s">
        <v>96</v>
      </c>
      <c r="B41" s="341">
        <v>20</v>
      </c>
      <c r="C41" s="343">
        <v>992.5</v>
      </c>
      <c r="D41" s="341">
        <v>0</v>
      </c>
      <c r="E41" s="343">
        <v>0</v>
      </c>
      <c r="F41" s="341">
        <v>20</v>
      </c>
      <c r="G41" s="343">
        <v>992.5</v>
      </c>
      <c r="H41" s="122">
        <v>81888</v>
      </c>
      <c r="I41" s="122">
        <v>82.51</v>
      </c>
      <c r="J41" s="33"/>
      <c r="K41" s="262"/>
    </row>
    <row r="42" spans="1:11" ht="12.75" customHeight="1">
      <c r="A42" s="351" t="s">
        <v>1068</v>
      </c>
      <c r="B42" s="341">
        <v>85</v>
      </c>
      <c r="C42" s="343">
        <v>4232</v>
      </c>
      <c r="D42" s="341">
        <v>0</v>
      </c>
      <c r="E42" s="343">
        <v>0</v>
      </c>
      <c r="F42" s="341">
        <v>85</v>
      </c>
      <c r="G42" s="343">
        <v>4232</v>
      </c>
      <c r="H42" s="122" t="s">
        <v>1199</v>
      </c>
      <c r="I42" s="122">
        <v>105.82</v>
      </c>
      <c r="J42" s="33"/>
      <c r="K42" s="262"/>
    </row>
    <row r="43" spans="1:11" ht="12.75" customHeight="1">
      <c r="A43" s="351" t="s">
        <v>98</v>
      </c>
      <c r="B43" s="341">
        <v>190</v>
      </c>
      <c r="C43" s="343">
        <v>9453.5</v>
      </c>
      <c r="D43" s="341">
        <v>70</v>
      </c>
      <c r="E43" s="343">
        <v>3492.8</v>
      </c>
      <c r="F43" s="341">
        <v>260</v>
      </c>
      <c r="G43" s="343">
        <v>12946.3</v>
      </c>
      <c r="H43" s="122">
        <v>1768050.9</v>
      </c>
      <c r="I43" s="122">
        <v>136.56804646887528</v>
      </c>
      <c r="J43" s="33"/>
      <c r="K43" s="262"/>
    </row>
    <row r="44" spans="1:11" ht="12.75" customHeight="1">
      <c r="A44" s="351" t="s">
        <v>99</v>
      </c>
      <c r="B44" s="341">
        <v>41</v>
      </c>
      <c r="C44" s="343">
        <v>2007</v>
      </c>
      <c r="D44" s="341">
        <v>20</v>
      </c>
      <c r="E44" s="343">
        <v>998.4</v>
      </c>
      <c r="F44" s="341">
        <v>61</v>
      </c>
      <c r="G44" s="343">
        <v>3005.4</v>
      </c>
      <c r="H44" s="122">
        <v>487151.4</v>
      </c>
      <c r="I44" s="122">
        <v>162.09203433819127</v>
      </c>
      <c r="J44" s="33"/>
      <c r="K44" s="262"/>
    </row>
    <row r="45" spans="1:11" ht="12.75" customHeight="1">
      <c r="A45" s="119" t="s">
        <v>552</v>
      </c>
      <c r="B45" s="474">
        <v>20</v>
      </c>
      <c r="C45" s="475">
        <v>994</v>
      </c>
      <c r="D45" s="474">
        <v>0</v>
      </c>
      <c r="E45" s="476">
        <v>0</v>
      </c>
      <c r="F45" s="474">
        <v>20</v>
      </c>
      <c r="G45" s="476">
        <v>994</v>
      </c>
      <c r="H45" s="477" t="s">
        <v>1200</v>
      </c>
      <c r="I45" s="477">
        <v>190</v>
      </c>
      <c r="J45" s="33"/>
      <c r="K45" s="262"/>
    </row>
    <row r="46" spans="1:11" ht="12.75" customHeight="1">
      <c r="A46" s="119" t="s">
        <v>14</v>
      </c>
      <c r="B46" s="478">
        <v>2709</v>
      </c>
      <c r="C46" s="480" t="s">
        <v>1201</v>
      </c>
      <c r="D46" s="474">
        <v>760</v>
      </c>
      <c r="E46" s="476">
        <v>37900.3</v>
      </c>
      <c r="F46" s="474">
        <v>3469</v>
      </c>
      <c r="G46" s="480" t="s">
        <v>1202</v>
      </c>
      <c r="H46" s="477" t="s">
        <v>1203</v>
      </c>
      <c r="I46" s="477">
        <v>152.58</v>
      </c>
      <c r="J46" s="33"/>
      <c r="K46" s="262"/>
    </row>
    <row r="47" spans="1:11" ht="12.75" customHeight="1">
      <c r="A47" s="351"/>
      <c r="B47" s="341"/>
      <c r="C47" s="343"/>
      <c r="D47" s="341"/>
      <c r="E47" s="343"/>
      <c r="F47" s="341"/>
      <c r="G47" s="343"/>
      <c r="H47" s="122"/>
      <c r="I47" s="122"/>
      <c r="J47" s="33"/>
      <c r="K47" s="262"/>
    </row>
    <row r="48" spans="1:10" ht="12.75" customHeight="1">
      <c r="A48" s="344"/>
      <c r="B48" s="355"/>
      <c r="C48" s="342"/>
      <c r="D48" s="355"/>
      <c r="E48" s="117"/>
      <c r="F48" s="356"/>
      <c r="G48" s="342" t="s">
        <v>119</v>
      </c>
      <c r="H48" s="118"/>
      <c r="I48" s="118"/>
      <c r="J48" s="114"/>
    </row>
    <row r="49" spans="1:10" ht="12.75" customHeight="1">
      <c r="A49" s="344"/>
      <c r="B49" s="355"/>
      <c r="C49" s="342"/>
      <c r="D49" s="355"/>
      <c r="E49" s="114"/>
      <c r="F49" s="117"/>
      <c r="G49" s="359" t="s">
        <v>121</v>
      </c>
      <c r="H49" s="118"/>
      <c r="I49" s="118"/>
      <c r="J49" s="114"/>
    </row>
    <row r="50" spans="1:10" ht="12.75" customHeight="1">
      <c r="A50" s="329" t="s">
        <v>117</v>
      </c>
      <c r="B50" s="355"/>
      <c r="C50" s="342"/>
      <c r="D50" s="355"/>
      <c r="E50" s="117"/>
      <c r="F50" s="355"/>
      <c r="G50" s="342"/>
      <c r="H50" s="118"/>
      <c r="I50" s="118"/>
      <c r="J50" s="114"/>
    </row>
    <row r="51" spans="1:10" ht="12.75" customHeight="1">
      <c r="A51" s="329" t="s">
        <v>118</v>
      </c>
      <c r="B51" s="355"/>
      <c r="C51" s="342"/>
      <c r="D51" s="355"/>
      <c r="E51" s="117"/>
      <c r="F51" s="355"/>
      <c r="G51" s="342"/>
      <c r="H51" s="118"/>
      <c r="I51" s="118"/>
      <c r="J51" s="114"/>
    </row>
    <row r="52" spans="1:10" ht="12.75" customHeight="1">
      <c r="A52" s="329" t="s">
        <v>120</v>
      </c>
      <c r="B52" s="355"/>
      <c r="C52" s="342"/>
      <c r="D52" s="355"/>
      <c r="E52" s="117"/>
      <c r="F52" s="355"/>
      <c r="G52" s="342"/>
      <c r="H52" s="118"/>
      <c r="I52" s="118"/>
      <c r="J52" s="114"/>
    </row>
    <row r="53" spans="1:10" ht="12.75" customHeight="1">
      <c r="A53" s="329" t="s">
        <v>122</v>
      </c>
      <c r="B53" s="355"/>
      <c r="C53" s="342"/>
      <c r="D53" s="355"/>
      <c r="E53" s="117"/>
      <c r="F53" s="355"/>
      <c r="G53" s="342"/>
      <c r="H53" s="118"/>
      <c r="I53" s="118"/>
      <c r="J53" s="114"/>
    </row>
    <row r="54" spans="1:10" ht="12.75" customHeight="1">
      <c r="A54" s="329" t="s">
        <v>123</v>
      </c>
      <c r="B54" s="355"/>
      <c r="C54" s="342"/>
      <c r="D54" s="355"/>
      <c r="E54" s="117"/>
      <c r="F54" s="355"/>
      <c r="G54" s="342"/>
      <c r="H54" s="118"/>
      <c r="I54" s="118"/>
      <c r="J54" s="114"/>
    </row>
    <row r="55" spans="1:10" ht="12.75" customHeight="1">
      <c r="A55" s="114"/>
      <c r="B55" s="355"/>
      <c r="C55" s="342"/>
      <c r="D55" s="355"/>
      <c r="E55" s="117"/>
      <c r="F55" s="355"/>
      <c r="G55" s="342"/>
      <c r="H55" s="118"/>
      <c r="I55" s="118"/>
      <c r="J55" s="114"/>
    </row>
    <row r="56" spans="1:10" ht="12.75" customHeight="1">
      <c r="A56" s="114"/>
      <c r="B56" s="355"/>
      <c r="C56" s="342"/>
      <c r="D56" s="355"/>
      <c r="E56" s="117"/>
      <c r="F56" s="355"/>
      <c r="G56" s="342"/>
      <c r="H56" s="118"/>
      <c r="I56" s="118"/>
      <c r="J56" s="114"/>
    </row>
    <row r="57" spans="1:10" ht="12.75" customHeight="1">
      <c r="A57" s="114"/>
      <c r="B57" s="355"/>
      <c r="C57" s="342"/>
      <c r="D57" s="355"/>
      <c r="E57" s="117"/>
      <c r="F57" s="355"/>
      <c r="G57" s="342"/>
      <c r="H57" s="118"/>
      <c r="I57" s="118"/>
      <c r="J57" s="114"/>
    </row>
    <row r="58" spans="1:10" ht="12.75" customHeight="1">
      <c r="A58" s="114"/>
      <c r="B58" s="355"/>
      <c r="C58" s="342"/>
      <c r="D58" s="355"/>
      <c r="E58" s="117"/>
      <c r="F58" s="355"/>
      <c r="G58" s="342"/>
      <c r="H58" s="118"/>
      <c r="I58" s="118"/>
      <c r="J58" s="114"/>
    </row>
    <row r="59" spans="1:10" ht="12.75" customHeight="1">
      <c r="A59" s="114"/>
      <c r="B59" s="355"/>
      <c r="C59" s="342"/>
      <c r="D59" s="355"/>
      <c r="E59" s="117"/>
      <c r="F59" s="355"/>
      <c r="G59" s="342"/>
      <c r="H59" s="118"/>
      <c r="I59" s="118"/>
      <c r="J59" s="114"/>
    </row>
    <row r="60" spans="1:10" ht="12.75" customHeight="1">
      <c r="A60" s="114"/>
      <c r="B60" s="355"/>
      <c r="C60" s="342"/>
      <c r="D60" s="355"/>
      <c r="E60" s="117"/>
      <c r="F60" s="355"/>
      <c r="G60" s="342"/>
      <c r="H60" s="118"/>
      <c r="I60" s="118"/>
      <c r="J60" s="114"/>
    </row>
    <row r="61" ht="12.75" customHeight="1">
      <c r="A61" s="1"/>
    </row>
    <row r="62" spans="1:16" s="31" customFormat="1" ht="12.75" customHeight="1">
      <c r="A62" s="1"/>
      <c r="C62" s="360"/>
      <c r="E62" s="244"/>
      <c r="G62" s="360"/>
      <c r="H62" s="48"/>
      <c r="I62" s="48"/>
      <c r="J62" s="378"/>
      <c r="K62" s="378"/>
      <c r="L62" s="378"/>
      <c r="M62" s="378"/>
      <c r="N62" s="378"/>
      <c r="O62" s="378"/>
      <c r="P62" s="378"/>
    </row>
    <row r="63" spans="1:16" s="31" customFormat="1" ht="12.75" customHeight="1">
      <c r="A63" s="1"/>
      <c r="C63" s="360"/>
      <c r="E63" s="244"/>
      <c r="G63" s="360"/>
      <c r="H63" s="48"/>
      <c r="I63" s="48"/>
      <c r="J63" s="378"/>
      <c r="K63" s="378"/>
      <c r="L63" s="378"/>
      <c r="M63" s="378"/>
      <c r="N63" s="378"/>
      <c r="O63" s="378"/>
      <c r="P63" s="378"/>
    </row>
    <row r="64" spans="1:16" s="31" customFormat="1" ht="12.75" customHeight="1">
      <c r="A64" s="1"/>
      <c r="C64" s="360"/>
      <c r="E64" s="244"/>
      <c r="G64" s="360"/>
      <c r="H64" s="48"/>
      <c r="I64" s="48"/>
      <c r="J64" s="378"/>
      <c r="K64" s="378"/>
      <c r="L64" s="378"/>
      <c r="M64" s="378"/>
      <c r="N64" s="378"/>
      <c r="O64" s="378"/>
      <c r="P64" s="378"/>
    </row>
    <row r="65" spans="1:16" s="31" customFormat="1" ht="12.75" customHeight="1">
      <c r="A65" s="1"/>
      <c r="C65" s="360"/>
      <c r="E65" s="244"/>
      <c r="G65" s="360"/>
      <c r="H65" s="48"/>
      <c r="I65" s="48"/>
      <c r="J65" s="378"/>
      <c r="K65" s="378"/>
      <c r="L65" s="378"/>
      <c r="M65" s="378"/>
      <c r="N65" s="378"/>
      <c r="O65" s="378"/>
      <c r="P65" s="378"/>
    </row>
  </sheetData>
  <sheetProtection/>
  <printOptions/>
  <pageMargins left="0.7" right="0.7" top="0.58" bottom="0.5" header="0.3" footer="0.3"/>
  <pageSetup horizontalDpi="600" verticalDpi="600" orientation="portrait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7.7109375" style="378" customWidth="1"/>
    <col min="2" max="2" width="7.140625" style="31" customWidth="1"/>
    <col min="3" max="3" width="10.28125" style="360" customWidth="1"/>
    <col min="4" max="4" width="7.421875" style="31" customWidth="1"/>
    <col min="5" max="5" width="9.28125" style="244" customWidth="1"/>
    <col min="6" max="6" width="7.140625" style="31" customWidth="1"/>
    <col min="7" max="7" width="10.00390625" style="360" customWidth="1"/>
    <col min="8" max="8" width="14.00390625" style="48" customWidth="1"/>
    <col min="9" max="9" width="9.28125" style="48" customWidth="1"/>
    <col min="10" max="15" width="8.8515625" style="378" customWidth="1"/>
    <col min="16" max="16" width="12.7109375" style="378" bestFit="1" customWidth="1"/>
    <col min="17" max="16384" width="8.8515625" style="378" customWidth="1"/>
  </cols>
  <sheetData>
    <row r="1" spans="1:11" ht="12.75" customHeight="1">
      <c r="A1" s="329" t="s">
        <v>1149</v>
      </c>
      <c r="B1" s="330"/>
      <c r="C1" s="331"/>
      <c r="D1" s="330"/>
      <c r="E1" s="332"/>
      <c r="F1" s="330"/>
      <c r="G1" s="331"/>
      <c r="H1" s="333"/>
      <c r="I1" s="333"/>
      <c r="J1" s="33"/>
      <c r="K1" s="262"/>
    </row>
    <row r="2" spans="1:11" ht="12.75" customHeight="1">
      <c r="A2" s="329" t="s">
        <v>1150</v>
      </c>
      <c r="B2" s="330"/>
      <c r="C2" s="331"/>
      <c r="D2" s="330"/>
      <c r="E2" s="332"/>
      <c r="F2" s="330"/>
      <c r="G2" s="331"/>
      <c r="H2" s="333"/>
      <c r="I2" s="333"/>
      <c r="J2" s="33"/>
      <c r="K2" s="262"/>
    </row>
    <row r="3" spans="1:11" ht="12.75" customHeight="1">
      <c r="A3" s="329" t="s">
        <v>110</v>
      </c>
      <c r="B3" s="330"/>
      <c r="C3" s="331"/>
      <c r="D3" s="330"/>
      <c r="E3" s="332"/>
      <c r="F3" s="330"/>
      <c r="G3" s="331"/>
      <c r="H3" s="333"/>
      <c r="I3" s="333"/>
      <c r="J3" s="33"/>
      <c r="K3" s="262"/>
    </row>
    <row r="4" spans="1:11" ht="12.75" customHeight="1">
      <c r="A4" s="329" t="s">
        <v>5</v>
      </c>
      <c r="B4" s="330"/>
      <c r="C4" s="331"/>
      <c r="D4" s="330"/>
      <c r="E4" s="332"/>
      <c r="F4" s="330"/>
      <c r="G4" s="331"/>
      <c r="H4" s="333"/>
      <c r="I4" s="333"/>
      <c r="J4" s="33"/>
      <c r="K4" s="262"/>
    </row>
    <row r="5" spans="1:11" ht="12.75" customHeight="1">
      <c r="A5" s="329" t="s">
        <v>6</v>
      </c>
      <c r="B5" s="330"/>
      <c r="C5" s="331"/>
      <c r="D5" s="330"/>
      <c r="E5" s="334"/>
      <c r="F5" s="330"/>
      <c r="G5" s="331"/>
      <c r="H5" s="333"/>
      <c r="I5" s="333"/>
      <c r="J5" s="33"/>
      <c r="K5" s="262"/>
    </row>
    <row r="6" spans="1:11" ht="12.75" customHeight="1">
      <c r="A6" s="329" t="s">
        <v>111</v>
      </c>
      <c r="B6" s="330"/>
      <c r="C6" s="331"/>
      <c r="D6" s="330"/>
      <c r="E6" s="332"/>
      <c r="F6" s="330"/>
      <c r="G6" s="331"/>
      <c r="H6" s="333"/>
      <c r="I6" s="333"/>
      <c r="J6" s="33"/>
      <c r="K6" s="262"/>
    </row>
    <row r="7" spans="1:11" ht="12.75" customHeight="1">
      <c r="A7" s="329" t="s">
        <v>112</v>
      </c>
      <c r="B7" s="330"/>
      <c r="C7" s="331"/>
      <c r="D7" s="330"/>
      <c r="E7" s="335" t="s">
        <v>113</v>
      </c>
      <c r="F7" s="330"/>
      <c r="G7" s="331"/>
      <c r="H7" s="333"/>
      <c r="I7" s="333"/>
      <c r="J7" s="33"/>
      <c r="K7" s="262"/>
    </row>
    <row r="8" spans="1:11" ht="12.75" customHeight="1">
      <c r="A8" s="336" t="s">
        <v>1151</v>
      </c>
      <c r="B8" s="337"/>
      <c r="C8" s="338"/>
      <c r="D8" s="337"/>
      <c r="E8" s="339"/>
      <c r="F8" s="337"/>
      <c r="G8" s="338"/>
      <c r="H8" s="340"/>
      <c r="I8" s="340"/>
      <c r="J8" s="33"/>
      <c r="K8" s="262"/>
    </row>
    <row r="9" spans="1:11" ht="12.75" customHeight="1">
      <c r="A9" s="114"/>
      <c r="B9" s="341" t="s">
        <v>45</v>
      </c>
      <c r="C9" s="342"/>
      <c r="D9" s="341" t="s">
        <v>46</v>
      </c>
      <c r="E9" s="342"/>
      <c r="F9" s="341"/>
      <c r="G9" s="343" t="s">
        <v>47</v>
      </c>
      <c r="H9" s="118"/>
      <c r="I9" s="118"/>
      <c r="J9" s="33"/>
      <c r="K9" s="262"/>
    </row>
    <row r="10" spans="1:11" ht="12.75" customHeight="1">
      <c r="A10" s="344" t="s">
        <v>461</v>
      </c>
      <c r="B10" s="345" t="s">
        <v>49</v>
      </c>
      <c r="C10" s="346" t="s">
        <v>50</v>
      </c>
      <c r="D10" s="345" t="s">
        <v>49</v>
      </c>
      <c r="E10" s="346" t="s">
        <v>50</v>
      </c>
      <c r="F10" s="345" t="s">
        <v>49</v>
      </c>
      <c r="G10" s="346" t="s">
        <v>50</v>
      </c>
      <c r="H10" s="347" t="s">
        <v>51</v>
      </c>
      <c r="I10" s="347" t="s">
        <v>52</v>
      </c>
      <c r="J10" s="33"/>
      <c r="K10" s="262"/>
    </row>
    <row r="11" spans="1:11" ht="12.75" customHeight="1">
      <c r="A11" s="119" t="s">
        <v>466</v>
      </c>
      <c r="B11" s="348"/>
      <c r="C11" s="343">
        <v>0</v>
      </c>
      <c r="D11" s="115"/>
      <c r="E11" s="121"/>
      <c r="F11" s="115"/>
      <c r="G11" s="343"/>
      <c r="H11" s="122"/>
      <c r="I11" s="350"/>
      <c r="J11" s="33"/>
      <c r="K11" s="262"/>
    </row>
    <row r="12" spans="1:11" ht="12.75" customHeight="1">
      <c r="A12" s="114" t="s">
        <v>14</v>
      </c>
      <c r="B12" s="122">
        <f aca="true" t="shared" si="0" ref="B12:H12">SUM(B11)</f>
        <v>0</v>
      </c>
      <c r="C12" s="343">
        <f t="shared" si="0"/>
        <v>0</v>
      </c>
      <c r="D12" s="341">
        <f t="shared" si="0"/>
        <v>0</v>
      </c>
      <c r="E12" s="343">
        <f t="shared" si="0"/>
        <v>0</v>
      </c>
      <c r="F12" s="341">
        <f t="shared" si="0"/>
        <v>0</v>
      </c>
      <c r="G12" s="343">
        <f t="shared" si="0"/>
        <v>0</v>
      </c>
      <c r="H12" s="122">
        <f t="shared" si="0"/>
        <v>0</v>
      </c>
      <c r="I12" s="122" t="e">
        <f>H12/G12</f>
        <v>#DIV/0!</v>
      </c>
      <c r="J12" s="33"/>
      <c r="K12" s="262"/>
    </row>
    <row r="13" spans="1:11" ht="12.75" customHeight="1">
      <c r="A13" s="344" t="s">
        <v>462</v>
      </c>
      <c r="B13" s="345" t="s">
        <v>49</v>
      </c>
      <c r="C13" s="346" t="s">
        <v>50</v>
      </c>
      <c r="D13" s="345" t="s">
        <v>49</v>
      </c>
      <c r="E13" s="346" t="s">
        <v>50</v>
      </c>
      <c r="F13" s="345" t="s">
        <v>49</v>
      </c>
      <c r="G13" s="346" t="s">
        <v>50</v>
      </c>
      <c r="H13" s="347" t="s">
        <v>51</v>
      </c>
      <c r="I13" s="347" t="s">
        <v>52</v>
      </c>
      <c r="J13" s="33"/>
      <c r="K13" s="262"/>
    </row>
    <row r="14" spans="1:11" ht="12.75" customHeight="1">
      <c r="A14" s="119" t="s">
        <v>53</v>
      </c>
      <c r="B14" s="474">
        <v>555</v>
      </c>
      <c r="C14" s="475">
        <v>27700.5</v>
      </c>
      <c r="D14" s="474">
        <v>20</v>
      </c>
      <c r="E14" s="476">
        <v>998.4</v>
      </c>
      <c r="F14" s="474">
        <v>575</v>
      </c>
      <c r="G14" s="476">
        <v>28698.9</v>
      </c>
      <c r="H14" s="477" t="s">
        <v>1152</v>
      </c>
      <c r="I14" s="477">
        <v>189.3</v>
      </c>
      <c r="J14" s="33"/>
      <c r="K14" s="262"/>
    </row>
    <row r="15" spans="1:11" ht="12.75" customHeight="1">
      <c r="A15" s="119" t="s">
        <v>469</v>
      </c>
      <c r="B15" s="478"/>
      <c r="C15" s="475">
        <v>0</v>
      </c>
      <c r="D15" s="474">
        <v>10</v>
      </c>
      <c r="E15" s="476">
        <v>499.2</v>
      </c>
      <c r="F15" s="474">
        <v>10</v>
      </c>
      <c r="G15" s="476">
        <v>499.2</v>
      </c>
      <c r="H15" s="477">
        <v>84864</v>
      </c>
      <c r="I15" s="477">
        <v>170</v>
      </c>
      <c r="J15" s="33"/>
      <c r="K15" s="262"/>
    </row>
    <row r="16" spans="1:11" ht="12.75" customHeight="1">
      <c r="A16" s="119" t="s">
        <v>128</v>
      </c>
      <c r="B16" s="474">
        <v>10</v>
      </c>
      <c r="C16" s="475">
        <v>497.5</v>
      </c>
      <c r="D16" s="474">
        <v>0</v>
      </c>
      <c r="E16" s="476">
        <v>0</v>
      </c>
      <c r="F16" s="474">
        <v>10</v>
      </c>
      <c r="G16" s="476">
        <v>497.5</v>
      </c>
      <c r="H16" s="477">
        <v>51735.5</v>
      </c>
      <c r="I16" s="477">
        <v>103.99</v>
      </c>
      <c r="J16" s="33"/>
      <c r="K16" s="262"/>
    </row>
    <row r="17" spans="1:11" ht="12.75" customHeight="1">
      <c r="A17" s="119" t="s">
        <v>640</v>
      </c>
      <c r="B17" s="478"/>
      <c r="C17" s="475">
        <v>0</v>
      </c>
      <c r="D17" s="474">
        <v>30</v>
      </c>
      <c r="E17" s="476">
        <v>1496.8</v>
      </c>
      <c r="F17" s="474">
        <v>30</v>
      </c>
      <c r="G17" s="476">
        <v>1496.8</v>
      </c>
      <c r="H17" s="477" t="s">
        <v>1153</v>
      </c>
      <c r="I17" s="477">
        <v>198.96</v>
      </c>
      <c r="J17" s="33"/>
      <c r="K17" s="262"/>
    </row>
    <row r="18" spans="1:11" ht="12.75" customHeight="1">
      <c r="A18" s="119" t="s">
        <v>57</v>
      </c>
      <c r="B18" s="474">
        <v>50</v>
      </c>
      <c r="C18" s="475">
        <v>2492.5</v>
      </c>
      <c r="D18" s="474">
        <v>0</v>
      </c>
      <c r="E18" s="476">
        <v>0</v>
      </c>
      <c r="F18" s="474">
        <v>50</v>
      </c>
      <c r="G18" s="476">
        <v>2492.5</v>
      </c>
      <c r="H18" s="477" t="s">
        <v>1154</v>
      </c>
      <c r="I18" s="477">
        <v>143.98</v>
      </c>
      <c r="J18" s="33"/>
      <c r="K18" s="262"/>
    </row>
    <row r="19" spans="1:11" ht="12.75" customHeight="1">
      <c r="A19" s="119" t="s">
        <v>176</v>
      </c>
      <c r="B19" s="474">
        <v>90</v>
      </c>
      <c r="C19" s="475">
        <v>4483.5</v>
      </c>
      <c r="D19" s="474">
        <v>10</v>
      </c>
      <c r="E19" s="476">
        <v>499.2</v>
      </c>
      <c r="F19" s="474">
        <v>100</v>
      </c>
      <c r="G19" s="476">
        <v>4982.7</v>
      </c>
      <c r="H19" s="477" t="s">
        <v>1155</v>
      </c>
      <c r="I19" s="477">
        <v>152.88</v>
      </c>
      <c r="J19" s="33"/>
      <c r="K19" s="262"/>
    </row>
    <row r="20" spans="1:11" ht="12.75" customHeight="1">
      <c r="A20" s="119" t="s">
        <v>130</v>
      </c>
      <c r="B20" s="474">
        <v>10</v>
      </c>
      <c r="C20" s="475">
        <v>498.5</v>
      </c>
      <c r="D20" s="474">
        <v>0</v>
      </c>
      <c r="E20" s="476">
        <v>0</v>
      </c>
      <c r="F20" s="474">
        <v>10</v>
      </c>
      <c r="G20" s="476">
        <v>498.5</v>
      </c>
      <c r="H20" s="477">
        <v>62312.5</v>
      </c>
      <c r="I20" s="477">
        <v>125</v>
      </c>
      <c r="J20" s="33"/>
      <c r="K20" s="262"/>
    </row>
    <row r="21" spans="1:11" ht="12.75" customHeight="1">
      <c r="A21" s="119" t="s">
        <v>475</v>
      </c>
      <c r="B21" s="474">
        <v>150</v>
      </c>
      <c r="C21" s="475">
        <v>7486.5</v>
      </c>
      <c r="D21" s="474">
        <v>0</v>
      </c>
      <c r="E21" s="476">
        <v>0</v>
      </c>
      <c r="F21" s="474">
        <v>150</v>
      </c>
      <c r="G21" s="476">
        <v>7486.5</v>
      </c>
      <c r="H21" s="477" t="s">
        <v>1156</v>
      </c>
      <c r="I21" s="477">
        <v>198.87</v>
      </c>
      <c r="J21" s="33"/>
      <c r="K21" s="262"/>
    </row>
    <row r="22" spans="1:11" ht="12.75" customHeight="1">
      <c r="A22" s="119" t="s">
        <v>59</v>
      </c>
      <c r="B22" s="474">
        <v>180</v>
      </c>
      <c r="C22" s="475">
        <v>8973</v>
      </c>
      <c r="D22" s="474">
        <v>0</v>
      </c>
      <c r="E22" s="476">
        <v>0</v>
      </c>
      <c r="F22" s="474">
        <v>180</v>
      </c>
      <c r="G22" s="476">
        <v>8973</v>
      </c>
      <c r="H22" s="477" t="s">
        <v>1157</v>
      </c>
      <c r="I22" s="477">
        <v>228.44</v>
      </c>
      <c r="J22" s="33"/>
      <c r="K22" s="262"/>
    </row>
    <row r="23" spans="1:11" ht="12.75" customHeight="1">
      <c r="A23" s="119" t="s">
        <v>61</v>
      </c>
      <c r="B23" s="474">
        <v>10</v>
      </c>
      <c r="C23" s="475">
        <v>498.5</v>
      </c>
      <c r="D23" s="474">
        <v>0</v>
      </c>
      <c r="E23" s="476">
        <v>0</v>
      </c>
      <c r="F23" s="474">
        <v>10</v>
      </c>
      <c r="G23" s="476">
        <v>498.5</v>
      </c>
      <c r="H23" s="477" t="s">
        <v>1158</v>
      </c>
      <c r="I23" s="477">
        <v>215</v>
      </c>
      <c r="J23" s="33"/>
      <c r="K23" s="262"/>
    </row>
    <row r="24" spans="1:11" ht="12.75" customHeight="1">
      <c r="A24" s="119" t="s">
        <v>63</v>
      </c>
      <c r="B24" s="474">
        <v>40</v>
      </c>
      <c r="C24" s="475">
        <v>1986.5</v>
      </c>
      <c r="D24" s="474">
        <v>0</v>
      </c>
      <c r="E24" s="476">
        <v>0</v>
      </c>
      <c r="F24" s="474">
        <v>40</v>
      </c>
      <c r="G24" s="476">
        <v>1986.5</v>
      </c>
      <c r="H24" s="477" t="s">
        <v>1159</v>
      </c>
      <c r="I24" s="477">
        <v>237.73</v>
      </c>
      <c r="J24" s="33"/>
      <c r="K24" s="262"/>
    </row>
    <row r="25" spans="1:11" ht="12.75" customHeight="1">
      <c r="A25" s="119" t="s">
        <v>872</v>
      </c>
      <c r="B25" s="478"/>
      <c r="C25" s="475">
        <v>0</v>
      </c>
      <c r="D25" s="474">
        <v>25</v>
      </c>
      <c r="E25" s="476">
        <v>1247.6</v>
      </c>
      <c r="F25" s="474">
        <v>25</v>
      </c>
      <c r="G25" s="476">
        <v>1247.6</v>
      </c>
      <c r="H25" s="477" t="s">
        <v>1160</v>
      </c>
      <c r="I25" s="477">
        <v>192.2</v>
      </c>
      <c r="J25" s="33"/>
      <c r="K25" s="262"/>
    </row>
    <row r="26" spans="1:11" ht="12.75" customHeight="1">
      <c r="A26" s="119" t="s">
        <v>329</v>
      </c>
      <c r="B26" s="474">
        <v>20</v>
      </c>
      <c r="C26" s="475">
        <v>998.5</v>
      </c>
      <c r="D26" s="474">
        <v>0</v>
      </c>
      <c r="E26" s="476">
        <v>0</v>
      </c>
      <c r="F26" s="474">
        <v>20</v>
      </c>
      <c r="G26" s="476">
        <v>998.5</v>
      </c>
      <c r="H26" s="477" t="s">
        <v>1161</v>
      </c>
      <c r="I26" s="477">
        <v>229</v>
      </c>
      <c r="J26" s="33"/>
      <c r="K26" s="262"/>
    </row>
    <row r="27" spans="1:11" ht="12.75" customHeight="1">
      <c r="A27" s="119" t="s">
        <v>67</v>
      </c>
      <c r="B27" s="474">
        <v>50</v>
      </c>
      <c r="C27" s="475">
        <v>2494</v>
      </c>
      <c r="D27" s="474">
        <v>20</v>
      </c>
      <c r="E27" s="476">
        <v>998.4</v>
      </c>
      <c r="F27" s="474">
        <v>70</v>
      </c>
      <c r="G27" s="476">
        <v>3492.4</v>
      </c>
      <c r="H27" s="477" t="s">
        <v>1162</v>
      </c>
      <c r="I27" s="477">
        <v>161.31</v>
      </c>
      <c r="J27" s="33"/>
      <c r="K27" s="262"/>
    </row>
    <row r="28" spans="1:11" ht="12.75" customHeight="1">
      <c r="A28" s="119" t="s">
        <v>71</v>
      </c>
      <c r="B28" s="479">
        <v>1125</v>
      </c>
      <c r="C28" s="475">
        <v>56158.5</v>
      </c>
      <c r="D28" s="474">
        <v>80</v>
      </c>
      <c r="E28" s="476">
        <v>3993.1</v>
      </c>
      <c r="F28" s="479">
        <v>1205</v>
      </c>
      <c r="G28" s="476">
        <v>60151.6</v>
      </c>
      <c r="H28" s="477" t="s">
        <v>1163</v>
      </c>
      <c r="I28" s="477">
        <v>180.41</v>
      </c>
      <c r="J28" s="33"/>
      <c r="K28" s="262"/>
    </row>
    <row r="29" spans="1:11" ht="12.75" customHeight="1">
      <c r="A29" s="119" t="s">
        <v>1019</v>
      </c>
      <c r="B29" s="474">
        <v>15</v>
      </c>
      <c r="C29" s="475">
        <v>747</v>
      </c>
      <c r="D29" s="474">
        <v>30</v>
      </c>
      <c r="E29" s="476">
        <v>1497.6</v>
      </c>
      <c r="F29" s="474">
        <v>45</v>
      </c>
      <c r="G29" s="476">
        <v>2244.6</v>
      </c>
      <c r="H29" s="477" t="s">
        <v>1164</v>
      </c>
      <c r="I29" s="477">
        <v>125.23</v>
      </c>
      <c r="J29" s="33"/>
      <c r="K29" s="262"/>
    </row>
    <row r="30" spans="1:11" ht="12.75" customHeight="1">
      <c r="A30" s="119" t="s">
        <v>75</v>
      </c>
      <c r="B30" s="478">
        <v>30</v>
      </c>
      <c r="C30" s="475">
        <v>1489.5</v>
      </c>
      <c r="D30" s="474">
        <v>65</v>
      </c>
      <c r="E30" s="476">
        <v>3244.7</v>
      </c>
      <c r="F30" s="474">
        <v>95</v>
      </c>
      <c r="G30" s="476">
        <v>4734.2</v>
      </c>
      <c r="H30" s="477">
        <v>668148.2</v>
      </c>
      <c r="I30" s="477">
        <v>141.13222931012632</v>
      </c>
      <c r="J30" s="33"/>
      <c r="K30" s="262"/>
    </row>
    <row r="31" spans="1:11" ht="12.75" customHeight="1">
      <c r="A31" s="119" t="s">
        <v>77</v>
      </c>
      <c r="B31" s="474">
        <v>50</v>
      </c>
      <c r="C31" s="475">
        <v>2489.5</v>
      </c>
      <c r="D31" s="474">
        <v>30</v>
      </c>
      <c r="E31" s="476">
        <v>1496</v>
      </c>
      <c r="F31" s="474">
        <v>80</v>
      </c>
      <c r="G31" s="476">
        <v>3985.5</v>
      </c>
      <c r="H31" s="477" t="s">
        <v>1165</v>
      </c>
      <c r="I31" s="477">
        <v>131.25</v>
      </c>
      <c r="J31" s="33"/>
      <c r="K31" s="262"/>
    </row>
    <row r="32" spans="1:11" ht="12.75" customHeight="1">
      <c r="A32" s="119" t="s">
        <v>221</v>
      </c>
      <c r="B32" s="478"/>
      <c r="C32" s="475">
        <v>0</v>
      </c>
      <c r="D32" s="474">
        <v>20</v>
      </c>
      <c r="E32" s="476">
        <v>998.4</v>
      </c>
      <c r="F32" s="474">
        <v>20</v>
      </c>
      <c r="G32" s="476">
        <v>998.4</v>
      </c>
      <c r="H32" s="477" t="s">
        <v>1166</v>
      </c>
      <c r="I32" s="477">
        <v>145</v>
      </c>
      <c r="J32" s="33"/>
      <c r="K32" s="262"/>
    </row>
    <row r="33" spans="1:11" ht="12.75" customHeight="1">
      <c r="A33" s="119" t="s">
        <v>81</v>
      </c>
      <c r="B33" s="474">
        <v>30</v>
      </c>
      <c r="C33" s="475">
        <v>1498.5</v>
      </c>
      <c r="D33" s="474">
        <v>0</v>
      </c>
      <c r="E33" s="476">
        <v>0</v>
      </c>
      <c r="F33" s="474">
        <v>30</v>
      </c>
      <c r="G33" s="476">
        <v>1498.5</v>
      </c>
      <c r="H33" s="477">
        <v>184315.5</v>
      </c>
      <c r="I33" s="477">
        <v>123</v>
      </c>
      <c r="J33" s="33"/>
      <c r="K33" s="262"/>
    </row>
    <row r="34" spans="1:11" ht="12.75" customHeight="1">
      <c r="A34" s="119" t="s">
        <v>83</v>
      </c>
      <c r="B34" s="474">
        <v>60</v>
      </c>
      <c r="C34" s="475">
        <v>2991</v>
      </c>
      <c r="D34" s="474">
        <v>20</v>
      </c>
      <c r="E34" s="476">
        <v>998.4</v>
      </c>
      <c r="F34" s="474">
        <v>80</v>
      </c>
      <c r="G34" s="476">
        <v>3989.4</v>
      </c>
      <c r="H34" s="477" t="s">
        <v>1167</v>
      </c>
      <c r="I34" s="477">
        <v>168.15</v>
      </c>
      <c r="J34" s="33"/>
      <c r="K34" s="262"/>
    </row>
    <row r="35" spans="1:11" ht="12.75" customHeight="1">
      <c r="A35" s="119" t="s">
        <v>150</v>
      </c>
      <c r="B35" s="474">
        <v>10</v>
      </c>
      <c r="C35" s="475">
        <v>498.5</v>
      </c>
      <c r="D35" s="474">
        <v>0</v>
      </c>
      <c r="E35" s="476">
        <v>0</v>
      </c>
      <c r="F35" s="474">
        <v>10</v>
      </c>
      <c r="G35" s="476">
        <v>498.5</v>
      </c>
      <c r="H35" s="477" t="s">
        <v>368</v>
      </c>
      <c r="I35" s="477">
        <v>230</v>
      </c>
      <c r="J35" s="33"/>
      <c r="K35" s="262"/>
    </row>
    <row r="36" spans="1:11" ht="12.75" customHeight="1">
      <c r="A36" s="119" t="s">
        <v>226</v>
      </c>
      <c r="B36" s="478"/>
      <c r="C36" s="475">
        <v>0</v>
      </c>
      <c r="D36" s="474">
        <v>15</v>
      </c>
      <c r="E36" s="476">
        <v>748.7</v>
      </c>
      <c r="F36" s="474">
        <v>15</v>
      </c>
      <c r="G36" s="476">
        <v>748.7</v>
      </c>
      <c r="H36" s="477" t="s">
        <v>1168</v>
      </c>
      <c r="I36" s="477">
        <v>143.67</v>
      </c>
      <c r="J36" s="33"/>
      <c r="K36" s="262"/>
    </row>
    <row r="37" spans="1:11" ht="12.75" customHeight="1">
      <c r="A37" s="119" t="s">
        <v>92</v>
      </c>
      <c r="B37" s="474">
        <v>30</v>
      </c>
      <c r="C37" s="475">
        <v>1497</v>
      </c>
      <c r="D37" s="474">
        <v>30</v>
      </c>
      <c r="E37" s="476">
        <v>1496.8</v>
      </c>
      <c r="F37" s="474">
        <v>60</v>
      </c>
      <c r="G37" s="476">
        <v>2993.8</v>
      </c>
      <c r="H37" s="477" t="s">
        <v>1169</v>
      </c>
      <c r="I37" s="477">
        <v>196.49</v>
      </c>
      <c r="J37" s="33"/>
      <c r="K37" s="262"/>
    </row>
    <row r="38" spans="1:11" ht="12.75" customHeight="1">
      <c r="A38" s="119" t="s">
        <v>94</v>
      </c>
      <c r="B38" s="474">
        <v>40</v>
      </c>
      <c r="C38" s="475">
        <v>2000</v>
      </c>
      <c r="D38" s="474">
        <v>110</v>
      </c>
      <c r="E38" s="476">
        <v>5491.2</v>
      </c>
      <c r="F38" s="474">
        <v>150</v>
      </c>
      <c r="G38" s="476">
        <v>7491.2</v>
      </c>
      <c r="H38" s="477" t="s">
        <v>1170</v>
      </c>
      <c r="I38" s="477">
        <v>188.72</v>
      </c>
      <c r="J38" s="33"/>
      <c r="K38" s="262"/>
    </row>
    <row r="39" spans="1:11" ht="12.75" customHeight="1">
      <c r="A39" s="119" t="s">
        <v>190</v>
      </c>
      <c r="B39" s="474">
        <v>20</v>
      </c>
      <c r="C39" s="475">
        <v>998.5</v>
      </c>
      <c r="D39" s="474">
        <v>0</v>
      </c>
      <c r="E39" s="476">
        <v>0</v>
      </c>
      <c r="F39" s="474">
        <v>20</v>
      </c>
      <c r="G39" s="476">
        <v>998.5</v>
      </c>
      <c r="H39" s="477" t="s">
        <v>1171</v>
      </c>
      <c r="I39" s="477">
        <v>163.06</v>
      </c>
      <c r="J39" s="33"/>
      <c r="K39" s="262"/>
    </row>
    <row r="40" spans="1:11" ht="12.75" customHeight="1">
      <c r="A40" s="119" t="s">
        <v>1068</v>
      </c>
      <c r="B40" s="474">
        <v>50</v>
      </c>
      <c r="C40" s="475">
        <v>2492.5</v>
      </c>
      <c r="D40" s="474">
        <v>0</v>
      </c>
      <c r="E40" s="476">
        <v>0</v>
      </c>
      <c r="F40" s="474">
        <v>50</v>
      </c>
      <c r="G40" s="476">
        <v>2492.5</v>
      </c>
      <c r="H40" s="477" t="s">
        <v>1172</v>
      </c>
      <c r="I40" s="477">
        <v>117.8</v>
      </c>
      <c r="J40" s="33"/>
      <c r="K40" s="262"/>
    </row>
    <row r="41" spans="1:11" ht="12.75" customHeight="1">
      <c r="A41" s="119" t="s">
        <v>98</v>
      </c>
      <c r="B41" s="474">
        <v>230</v>
      </c>
      <c r="C41" s="475">
        <v>11467</v>
      </c>
      <c r="D41" s="474">
        <v>0</v>
      </c>
      <c r="E41" s="476">
        <v>0</v>
      </c>
      <c r="F41" s="474">
        <v>149</v>
      </c>
      <c r="G41" s="476">
        <v>11467</v>
      </c>
      <c r="H41" s="477">
        <v>1904574.5</v>
      </c>
      <c r="I41" s="477">
        <v>163.58</v>
      </c>
      <c r="J41" s="33"/>
      <c r="K41" s="262"/>
    </row>
    <row r="42" spans="1:11" ht="12.75" customHeight="1">
      <c r="A42" s="119" t="s">
        <v>99</v>
      </c>
      <c r="B42" s="478"/>
      <c r="C42" s="475">
        <v>0</v>
      </c>
      <c r="D42" s="474">
        <v>10</v>
      </c>
      <c r="E42" s="476">
        <v>499.2</v>
      </c>
      <c r="F42" s="474">
        <v>10</v>
      </c>
      <c r="G42" s="476">
        <v>499.2</v>
      </c>
      <c r="H42" s="477" t="s">
        <v>1173</v>
      </c>
      <c r="I42" s="477">
        <v>297</v>
      </c>
      <c r="J42" s="33"/>
      <c r="K42" s="262"/>
    </row>
    <row r="43" spans="1:11" ht="12.75" customHeight="1">
      <c r="A43" s="119" t="s">
        <v>552</v>
      </c>
      <c r="B43" s="474">
        <v>30</v>
      </c>
      <c r="C43" s="475">
        <v>1495.5</v>
      </c>
      <c r="D43" s="474">
        <v>0</v>
      </c>
      <c r="E43" s="476">
        <v>0</v>
      </c>
      <c r="F43" s="474">
        <v>30</v>
      </c>
      <c r="G43" s="476">
        <v>1495.5</v>
      </c>
      <c r="H43" s="477" t="s">
        <v>1174</v>
      </c>
      <c r="I43" s="477">
        <v>198.33</v>
      </c>
      <c r="J43" s="33"/>
      <c r="K43" s="262"/>
    </row>
    <row r="44" spans="1:11" ht="12.75" customHeight="1">
      <c r="A44" s="119" t="s">
        <v>14</v>
      </c>
      <c r="B44" s="479">
        <v>2885</v>
      </c>
      <c r="C44" s="480" t="s">
        <v>1175</v>
      </c>
      <c r="D44" s="474">
        <v>525</v>
      </c>
      <c r="E44" s="476">
        <v>26203.7</v>
      </c>
      <c r="F44" s="479">
        <v>3410</v>
      </c>
      <c r="G44" s="480" t="s">
        <v>1176</v>
      </c>
      <c r="H44" s="477" t="s">
        <v>1177</v>
      </c>
      <c r="I44" s="477">
        <v>179.59</v>
      </c>
      <c r="J44" s="33"/>
      <c r="K44" s="262"/>
    </row>
    <row r="45" spans="1:11" ht="12.75" customHeight="1">
      <c r="A45" s="351"/>
      <c r="B45" s="341"/>
      <c r="C45" s="343"/>
      <c r="D45" s="341"/>
      <c r="E45" s="343"/>
      <c r="F45" s="341"/>
      <c r="G45" s="343"/>
      <c r="H45" s="122"/>
      <c r="I45" s="122"/>
      <c r="J45" s="33"/>
      <c r="K45" s="262"/>
    </row>
    <row r="46" spans="1:10" ht="12.75" customHeight="1">
      <c r="A46" s="344"/>
      <c r="B46" s="355"/>
      <c r="C46" s="342"/>
      <c r="D46" s="355"/>
      <c r="E46" s="117"/>
      <c r="F46" s="356"/>
      <c r="G46" s="342" t="s">
        <v>119</v>
      </c>
      <c r="H46" s="118"/>
      <c r="I46" s="118"/>
      <c r="J46" s="114"/>
    </row>
    <row r="47" spans="1:10" ht="12.75" customHeight="1">
      <c r="A47" s="344"/>
      <c r="B47" s="355"/>
      <c r="C47" s="342"/>
      <c r="D47" s="355"/>
      <c r="E47" s="114"/>
      <c r="F47" s="117"/>
      <c r="G47" s="359" t="s">
        <v>121</v>
      </c>
      <c r="H47" s="118"/>
      <c r="I47" s="118"/>
      <c r="J47" s="114"/>
    </row>
    <row r="48" spans="1:10" ht="12.75" customHeight="1">
      <c r="A48" s="329" t="s">
        <v>117</v>
      </c>
      <c r="B48" s="355"/>
      <c r="C48" s="342"/>
      <c r="D48" s="355"/>
      <c r="E48" s="117"/>
      <c r="F48" s="355"/>
      <c r="G48" s="342"/>
      <c r="H48" s="118"/>
      <c r="I48" s="118"/>
      <c r="J48" s="114"/>
    </row>
    <row r="49" spans="1:10" ht="12.75" customHeight="1">
      <c r="A49" s="329" t="s">
        <v>118</v>
      </c>
      <c r="B49" s="355"/>
      <c r="C49" s="342"/>
      <c r="D49" s="355"/>
      <c r="E49" s="117"/>
      <c r="F49" s="355"/>
      <c r="G49" s="342"/>
      <c r="H49" s="118"/>
      <c r="I49" s="118"/>
      <c r="J49" s="114"/>
    </row>
    <row r="50" spans="1:10" ht="12.75" customHeight="1">
      <c r="A50" s="329" t="s">
        <v>120</v>
      </c>
      <c r="B50" s="355"/>
      <c r="C50" s="342"/>
      <c r="D50" s="355"/>
      <c r="E50" s="117"/>
      <c r="F50" s="355"/>
      <c r="G50" s="342"/>
      <c r="H50" s="118"/>
      <c r="I50" s="118"/>
      <c r="J50" s="114"/>
    </row>
    <row r="51" spans="1:10" ht="12.75" customHeight="1">
      <c r="A51" s="329" t="s">
        <v>122</v>
      </c>
      <c r="B51" s="355"/>
      <c r="C51" s="342"/>
      <c r="D51" s="355"/>
      <c r="E51" s="117"/>
      <c r="F51" s="355"/>
      <c r="G51" s="342"/>
      <c r="H51" s="118"/>
      <c r="I51" s="118"/>
      <c r="J51" s="114"/>
    </row>
    <row r="52" spans="1:10" ht="12.75" customHeight="1">
      <c r="A52" s="329" t="s">
        <v>123</v>
      </c>
      <c r="B52" s="355"/>
      <c r="C52" s="342"/>
      <c r="D52" s="355"/>
      <c r="E52" s="117"/>
      <c r="F52" s="355"/>
      <c r="G52" s="342"/>
      <c r="H52" s="118"/>
      <c r="I52" s="118"/>
      <c r="J52" s="114"/>
    </row>
    <row r="53" spans="1:10" ht="12.75" customHeight="1">
      <c r="A53" s="114"/>
      <c r="B53" s="355"/>
      <c r="C53" s="342"/>
      <c r="D53" s="355"/>
      <c r="E53" s="117"/>
      <c r="F53" s="355"/>
      <c r="G53" s="342"/>
      <c r="H53" s="118"/>
      <c r="I53" s="118"/>
      <c r="J53" s="114"/>
    </row>
    <row r="54" spans="1:10" ht="12.75" customHeight="1">
      <c r="A54" s="114"/>
      <c r="B54" s="355"/>
      <c r="C54" s="342"/>
      <c r="D54" s="355"/>
      <c r="E54" s="117"/>
      <c r="F54" s="355"/>
      <c r="G54" s="342"/>
      <c r="H54" s="118"/>
      <c r="I54" s="118"/>
      <c r="J54" s="114"/>
    </row>
    <row r="55" spans="1:10" ht="12.75" customHeight="1">
      <c r="A55" s="114"/>
      <c r="B55" s="355"/>
      <c r="C55" s="342"/>
      <c r="D55" s="355"/>
      <c r="E55" s="117"/>
      <c r="F55" s="355"/>
      <c r="G55" s="342"/>
      <c r="H55" s="118"/>
      <c r="I55" s="118"/>
      <c r="J55" s="114"/>
    </row>
    <row r="56" spans="1:10" ht="12.75" customHeight="1">
      <c r="A56" s="114"/>
      <c r="B56" s="355"/>
      <c r="C56" s="342"/>
      <c r="D56" s="355"/>
      <c r="E56" s="117"/>
      <c r="F56" s="355"/>
      <c r="G56" s="342"/>
      <c r="H56" s="118"/>
      <c r="I56" s="118"/>
      <c r="J56" s="114"/>
    </row>
    <row r="57" spans="1:10" ht="12.75" customHeight="1">
      <c r="A57" s="114"/>
      <c r="B57" s="355"/>
      <c r="C57" s="342"/>
      <c r="D57" s="355"/>
      <c r="E57" s="117"/>
      <c r="F57" s="355"/>
      <c r="G57" s="342"/>
      <c r="H57" s="118"/>
      <c r="I57" s="118"/>
      <c r="J57" s="114"/>
    </row>
    <row r="58" spans="1:10" ht="12.75" customHeight="1">
      <c r="A58" s="114"/>
      <c r="B58" s="355"/>
      <c r="C58" s="342"/>
      <c r="D58" s="355"/>
      <c r="E58" s="117"/>
      <c r="F58" s="355"/>
      <c r="G58" s="342"/>
      <c r="H58" s="118"/>
      <c r="I58" s="118"/>
      <c r="J58" s="114"/>
    </row>
    <row r="59" ht="12.75" customHeight="1">
      <c r="A59" s="1"/>
    </row>
    <row r="60" spans="1:16" s="31" customFormat="1" ht="12.75" customHeight="1">
      <c r="A60" s="1"/>
      <c r="C60" s="360"/>
      <c r="E60" s="244"/>
      <c r="G60" s="360"/>
      <c r="H60" s="48"/>
      <c r="I60" s="48"/>
      <c r="J60" s="378"/>
      <c r="K60" s="378"/>
      <c r="L60" s="378"/>
      <c r="M60" s="378"/>
      <c r="N60" s="378"/>
      <c r="O60" s="378"/>
      <c r="P60" s="378"/>
    </row>
    <row r="61" spans="1:16" s="31" customFormat="1" ht="12.75" customHeight="1">
      <c r="A61" s="1"/>
      <c r="C61" s="360"/>
      <c r="E61" s="244"/>
      <c r="G61" s="360"/>
      <c r="H61" s="48"/>
      <c r="I61" s="48"/>
      <c r="J61" s="378"/>
      <c r="K61" s="378"/>
      <c r="L61" s="378"/>
      <c r="M61" s="378"/>
      <c r="N61" s="378"/>
      <c r="O61" s="378"/>
      <c r="P61" s="378"/>
    </row>
    <row r="62" spans="1:16" s="31" customFormat="1" ht="12.75" customHeight="1">
      <c r="A62" s="1"/>
      <c r="C62" s="360"/>
      <c r="E62" s="244"/>
      <c r="G62" s="360"/>
      <c r="H62" s="48"/>
      <c r="I62" s="48"/>
      <c r="J62" s="378"/>
      <c r="K62" s="378"/>
      <c r="L62" s="378"/>
      <c r="M62" s="378"/>
      <c r="N62" s="378"/>
      <c r="O62" s="378"/>
      <c r="P62" s="378"/>
    </row>
    <row r="63" spans="1:16" s="31" customFormat="1" ht="12.75" customHeight="1">
      <c r="A63" s="1"/>
      <c r="C63" s="360"/>
      <c r="E63" s="244"/>
      <c r="G63" s="360"/>
      <c r="H63" s="48"/>
      <c r="I63" s="48"/>
      <c r="J63" s="378"/>
      <c r="K63" s="378"/>
      <c r="L63" s="378"/>
      <c r="M63" s="378"/>
      <c r="N63" s="378"/>
      <c r="O63" s="378"/>
      <c r="P63" s="378"/>
    </row>
  </sheetData>
  <sheetProtection/>
  <printOptions/>
  <pageMargins left="0.7" right="0.7" top="0.58" bottom="0.5" header="0.3" footer="0.3"/>
  <pageSetup horizontalDpi="600" verticalDpi="600" orientation="portrait" paperSize="9" scale="85" r:id="rId1"/>
  <headerFooter>
    <oddHeader>&amp;RProduce Brokers Limited
1349/A, North Agrabad, D.T. Road Askarabad (1st floor)
Chattogram-4224
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7.7109375" style="378" customWidth="1"/>
    <col min="2" max="2" width="7.140625" style="31" customWidth="1"/>
    <col min="3" max="3" width="10.28125" style="360" customWidth="1"/>
    <col min="4" max="4" width="7.421875" style="31" customWidth="1"/>
    <col min="5" max="5" width="9.28125" style="244" customWidth="1"/>
    <col min="6" max="6" width="7.140625" style="31" customWidth="1"/>
    <col min="7" max="7" width="10.00390625" style="360" customWidth="1"/>
    <col min="8" max="8" width="14.00390625" style="48" customWidth="1"/>
    <col min="9" max="9" width="9.28125" style="48" customWidth="1"/>
    <col min="10" max="15" width="8.8515625" style="378" customWidth="1"/>
    <col min="16" max="16" width="12.7109375" style="378" bestFit="1" customWidth="1"/>
    <col min="17" max="16384" width="9.140625" style="378" customWidth="1"/>
  </cols>
  <sheetData>
    <row r="1" spans="1:11" ht="12.75" customHeight="1">
      <c r="A1" s="329" t="s">
        <v>1116</v>
      </c>
      <c r="B1" s="330"/>
      <c r="C1" s="331"/>
      <c r="D1" s="330"/>
      <c r="E1" s="332"/>
      <c r="F1" s="330"/>
      <c r="G1" s="331"/>
      <c r="H1" s="333"/>
      <c r="I1" s="333"/>
      <c r="J1" s="33"/>
      <c r="K1" s="262"/>
    </row>
    <row r="2" spans="1:11" ht="12.75" customHeight="1">
      <c r="A2" s="329" t="s">
        <v>1117</v>
      </c>
      <c r="B2" s="330"/>
      <c r="C2" s="331"/>
      <c r="D2" s="330"/>
      <c r="E2" s="332"/>
      <c r="F2" s="330"/>
      <c r="G2" s="331"/>
      <c r="H2" s="333"/>
      <c r="I2" s="333"/>
      <c r="J2" s="33"/>
      <c r="K2" s="262"/>
    </row>
    <row r="3" spans="1:11" ht="12.75" customHeight="1">
      <c r="A3" s="329" t="s">
        <v>110</v>
      </c>
      <c r="B3" s="330"/>
      <c r="C3" s="331"/>
      <c r="D3" s="330"/>
      <c r="E3" s="332"/>
      <c r="F3" s="330"/>
      <c r="G3" s="331"/>
      <c r="H3" s="333"/>
      <c r="I3" s="333"/>
      <c r="J3" s="33"/>
      <c r="K3" s="262"/>
    </row>
    <row r="4" spans="1:11" ht="12.75" customHeight="1">
      <c r="A4" s="329" t="s">
        <v>5</v>
      </c>
      <c r="B4" s="330"/>
      <c r="C4" s="331"/>
      <c r="D4" s="330"/>
      <c r="E4" s="332"/>
      <c r="F4" s="330"/>
      <c r="G4" s="331"/>
      <c r="H4" s="333"/>
      <c r="I4" s="333"/>
      <c r="J4" s="33"/>
      <c r="K4" s="262"/>
    </row>
    <row r="5" spans="1:11" ht="12.75" customHeight="1">
      <c r="A5" s="329" t="s">
        <v>6</v>
      </c>
      <c r="B5" s="330"/>
      <c r="C5" s="331"/>
      <c r="D5" s="330"/>
      <c r="E5" s="334"/>
      <c r="F5" s="330"/>
      <c r="G5" s="331"/>
      <c r="H5" s="333"/>
      <c r="I5" s="333"/>
      <c r="J5" s="33"/>
      <c r="K5" s="262"/>
    </row>
    <row r="6" spans="1:11" ht="12.75" customHeight="1">
      <c r="A6" s="329" t="s">
        <v>111</v>
      </c>
      <c r="B6" s="330"/>
      <c r="C6" s="331"/>
      <c r="D6" s="330"/>
      <c r="E6" s="332"/>
      <c r="F6" s="330"/>
      <c r="G6" s="331"/>
      <c r="H6" s="333"/>
      <c r="I6" s="333"/>
      <c r="J6" s="33"/>
      <c r="K6" s="262"/>
    </row>
    <row r="7" spans="1:11" ht="12.75" customHeight="1">
      <c r="A7" s="329" t="s">
        <v>112</v>
      </c>
      <c r="B7" s="330"/>
      <c r="C7" s="331"/>
      <c r="D7" s="330"/>
      <c r="E7" s="335" t="s">
        <v>113</v>
      </c>
      <c r="F7" s="330"/>
      <c r="G7" s="331"/>
      <c r="H7" s="333"/>
      <c r="I7" s="333"/>
      <c r="J7" s="33"/>
      <c r="K7" s="262"/>
    </row>
    <row r="8" spans="1:11" ht="12.75" customHeight="1">
      <c r="A8" s="336" t="s">
        <v>1118</v>
      </c>
      <c r="B8" s="337"/>
      <c r="C8" s="338"/>
      <c r="D8" s="337"/>
      <c r="E8" s="339"/>
      <c r="F8" s="337"/>
      <c r="G8" s="338"/>
      <c r="H8" s="340"/>
      <c r="I8" s="340"/>
      <c r="J8" s="33"/>
      <c r="K8" s="262"/>
    </row>
    <row r="9" spans="1:11" ht="12.75" customHeight="1">
      <c r="A9" s="114"/>
      <c r="B9" s="341" t="s">
        <v>45</v>
      </c>
      <c r="C9" s="342"/>
      <c r="D9" s="341" t="s">
        <v>46</v>
      </c>
      <c r="E9" s="342"/>
      <c r="F9" s="341"/>
      <c r="G9" s="343" t="s">
        <v>47</v>
      </c>
      <c r="H9" s="118"/>
      <c r="I9" s="118"/>
      <c r="J9" s="33"/>
      <c r="K9" s="262"/>
    </row>
    <row r="10" spans="1:11" ht="12.75" customHeight="1">
      <c r="A10" s="344" t="s">
        <v>461</v>
      </c>
      <c r="B10" s="345" t="s">
        <v>49</v>
      </c>
      <c r="C10" s="346" t="s">
        <v>50</v>
      </c>
      <c r="D10" s="345" t="s">
        <v>49</v>
      </c>
      <c r="E10" s="346" t="s">
        <v>50</v>
      </c>
      <c r="F10" s="345" t="s">
        <v>49</v>
      </c>
      <c r="G10" s="346" t="s">
        <v>50</v>
      </c>
      <c r="H10" s="347" t="s">
        <v>51</v>
      </c>
      <c r="I10" s="347" t="s">
        <v>52</v>
      </c>
      <c r="J10" s="33"/>
      <c r="K10" s="262"/>
    </row>
    <row r="11" spans="1:11" ht="12.75" customHeight="1">
      <c r="A11" s="119" t="s">
        <v>466</v>
      </c>
      <c r="B11" s="348"/>
      <c r="C11" s="343">
        <v>0</v>
      </c>
      <c r="D11" s="115"/>
      <c r="E11" s="121"/>
      <c r="F11" s="115"/>
      <c r="G11" s="343"/>
      <c r="H11" s="122"/>
      <c r="I11" s="350"/>
      <c r="J11" s="33"/>
      <c r="K11" s="262"/>
    </row>
    <row r="12" spans="1:11" ht="12.75" customHeight="1">
      <c r="A12" s="114" t="s">
        <v>14</v>
      </c>
      <c r="B12" s="122">
        <f aca="true" t="shared" si="0" ref="B12:H12">SUM(B11)</f>
        <v>0</v>
      </c>
      <c r="C12" s="343">
        <f t="shared" si="0"/>
        <v>0</v>
      </c>
      <c r="D12" s="341">
        <f t="shared" si="0"/>
        <v>0</v>
      </c>
      <c r="E12" s="343">
        <f t="shared" si="0"/>
        <v>0</v>
      </c>
      <c r="F12" s="341">
        <f t="shared" si="0"/>
        <v>0</v>
      </c>
      <c r="G12" s="343">
        <f t="shared" si="0"/>
        <v>0</v>
      </c>
      <c r="H12" s="122">
        <f t="shared" si="0"/>
        <v>0</v>
      </c>
      <c r="I12" s="122" t="e">
        <f>H12/G12</f>
        <v>#DIV/0!</v>
      </c>
      <c r="J12" s="33"/>
      <c r="K12" s="262"/>
    </row>
    <row r="13" spans="1:11" ht="12.75" customHeight="1">
      <c r="A13" s="344" t="s">
        <v>462</v>
      </c>
      <c r="B13" s="345" t="s">
        <v>49</v>
      </c>
      <c r="C13" s="346" t="s">
        <v>50</v>
      </c>
      <c r="D13" s="345" t="s">
        <v>49</v>
      </c>
      <c r="E13" s="346" t="s">
        <v>50</v>
      </c>
      <c r="F13" s="345" t="s">
        <v>49</v>
      </c>
      <c r="G13" s="346" t="s">
        <v>50</v>
      </c>
      <c r="H13" s="347" t="s">
        <v>51</v>
      </c>
      <c r="I13" s="347" t="s">
        <v>52</v>
      </c>
      <c r="J13" s="33"/>
      <c r="K13" s="262"/>
    </row>
    <row r="14" spans="1:11" ht="12.75" customHeight="1">
      <c r="A14" s="464" t="s">
        <v>319</v>
      </c>
      <c r="B14" s="465">
        <v>10</v>
      </c>
      <c r="C14" s="466">
        <v>498.5</v>
      </c>
      <c r="D14" s="465">
        <v>0</v>
      </c>
      <c r="E14" s="467">
        <v>0</v>
      </c>
      <c r="F14" s="465">
        <v>10</v>
      </c>
      <c r="G14" s="467">
        <v>498.5</v>
      </c>
      <c r="H14" s="468">
        <v>59820</v>
      </c>
      <c r="I14" s="468">
        <v>120</v>
      </c>
      <c r="J14" s="33"/>
      <c r="K14" s="262"/>
    </row>
    <row r="15" spans="1:11" ht="12.75" customHeight="1">
      <c r="A15" s="464" t="s">
        <v>53</v>
      </c>
      <c r="B15" s="469">
        <v>1045</v>
      </c>
      <c r="C15" s="466">
        <v>52159.5</v>
      </c>
      <c r="D15" s="465">
        <v>30</v>
      </c>
      <c r="E15" s="467">
        <v>1497.6</v>
      </c>
      <c r="F15" s="469">
        <v>1075</v>
      </c>
      <c r="G15" s="467">
        <v>53657.1</v>
      </c>
      <c r="H15" s="468" t="s">
        <v>1119</v>
      </c>
      <c r="I15" s="468">
        <v>179.25</v>
      </c>
      <c r="J15" s="33"/>
      <c r="K15" s="262"/>
    </row>
    <row r="16" spans="1:11" ht="12.75" customHeight="1">
      <c r="A16" s="464" t="s">
        <v>322</v>
      </c>
      <c r="B16" s="465">
        <v>20</v>
      </c>
      <c r="C16" s="466">
        <v>995.5</v>
      </c>
      <c r="D16" s="465">
        <v>0</v>
      </c>
      <c r="E16" s="467">
        <v>0</v>
      </c>
      <c r="F16" s="465">
        <v>20</v>
      </c>
      <c r="G16" s="467">
        <v>995.5</v>
      </c>
      <c r="H16" s="468" t="s">
        <v>1120</v>
      </c>
      <c r="I16" s="468">
        <v>132.98</v>
      </c>
      <c r="J16" s="33"/>
      <c r="K16" s="262"/>
    </row>
    <row r="17" spans="1:11" ht="12.75" customHeight="1">
      <c r="A17" s="464" t="s">
        <v>469</v>
      </c>
      <c r="B17" s="378"/>
      <c r="C17" s="466">
        <v>0</v>
      </c>
      <c r="D17" s="465">
        <v>5</v>
      </c>
      <c r="E17" s="467">
        <v>249.2</v>
      </c>
      <c r="F17" s="465">
        <v>5</v>
      </c>
      <c r="G17" s="467">
        <v>249.2</v>
      </c>
      <c r="H17" s="468">
        <v>24920</v>
      </c>
      <c r="I17" s="468">
        <v>100</v>
      </c>
      <c r="J17" s="33"/>
      <c r="K17" s="262"/>
    </row>
    <row r="18" spans="1:11" ht="12.75" customHeight="1">
      <c r="A18" s="464" t="s">
        <v>128</v>
      </c>
      <c r="B18" s="465">
        <v>60</v>
      </c>
      <c r="C18" s="466">
        <v>2991.5</v>
      </c>
      <c r="D18" s="465">
        <v>10</v>
      </c>
      <c r="E18" s="467">
        <v>499</v>
      </c>
      <c r="F18" s="465">
        <v>70</v>
      </c>
      <c r="G18" s="467">
        <v>3490.5</v>
      </c>
      <c r="H18" s="468" t="s">
        <v>1121</v>
      </c>
      <c r="I18" s="468">
        <v>119.21</v>
      </c>
      <c r="J18" s="33"/>
      <c r="K18" s="262"/>
    </row>
    <row r="19" spans="1:11" ht="12.75" customHeight="1">
      <c r="A19" s="464" t="s">
        <v>171</v>
      </c>
      <c r="B19" s="465">
        <v>147</v>
      </c>
      <c r="C19" s="466">
        <v>7333.5</v>
      </c>
      <c r="D19" s="465">
        <v>0</v>
      </c>
      <c r="E19" s="467">
        <v>0</v>
      </c>
      <c r="F19" s="465">
        <v>147</v>
      </c>
      <c r="G19" s="467">
        <v>7333.5</v>
      </c>
      <c r="H19" s="468" t="s">
        <v>1122</v>
      </c>
      <c r="I19" s="468">
        <v>192.28</v>
      </c>
      <c r="J19" s="33"/>
      <c r="K19" s="262"/>
    </row>
    <row r="20" spans="1:11" ht="12.75" customHeight="1">
      <c r="A20" s="464" t="s">
        <v>57</v>
      </c>
      <c r="B20" s="465">
        <v>70</v>
      </c>
      <c r="C20" s="466">
        <v>3494</v>
      </c>
      <c r="D20" s="465">
        <v>0</v>
      </c>
      <c r="E20" s="467">
        <v>0</v>
      </c>
      <c r="F20" s="465">
        <v>70</v>
      </c>
      <c r="G20" s="467">
        <v>3494</v>
      </c>
      <c r="H20" s="468" t="s">
        <v>1123</v>
      </c>
      <c r="I20" s="468">
        <v>157.28</v>
      </c>
      <c r="J20" s="33"/>
      <c r="K20" s="262"/>
    </row>
    <row r="21" spans="1:11" ht="12.75" customHeight="1">
      <c r="A21" s="464" t="s">
        <v>176</v>
      </c>
      <c r="B21" s="465">
        <v>50</v>
      </c>
      <c r="C21" s="466">
        <v>2492.5</v>
      </c>
      <c r="D21" s="465">
        <v>70</v>
      </c>
      <c r="E21" s="467">
        <v>3494.4</v>
      </c>
      <c r="F21" s="465">
        <v>120</v>
      </c>
      <c r="G21" s="467">
        <v>5986.9</v>
      </c>
      <c r="H21" s="468" t="s">
        <v>1124</v>
      </c>
      <c r="I21" s="468">
        <v>177.32</v>
      </c>
      <c r="J21" s="33"/>
      <c r="K21" s="262"/>
    </row>
    <row r="22" spans="1:11" ht="12.75" customHeight="1">
      <c r="A22" s="464" t="s">
        <v>130</v>
      </c>
      <c r="B22" s="465">
        <v>20</v>
      </c>
      <c r="C22" s="466">
        <v>997</v>
      </c>
      <c r="D22" s="465">
        <v>0</v>
      </c>
      <c r="E22" s="467">
        <v>0</v>
      </c>
      <c r="F22" s="465">
        <v>20</v>
      </c>
      <c r="G22" s="467">
        <v>997</v>
      </c>
      <c r="H22" s="468" t="s">
        <v>1125</v>
      </c>
      <c r="I22" s="468">
        <v>116.5</v>
      </c>
      <c r="J22" s="33"/>
      <c r="K22" s="262"/>
    </row>
    <row r="23" spans="1:11" ht="12.75" customHeight="1">
      <c r="A23" s="464" t="s">
        <v>475</v>
      </c>
      <c r="B23" s="465">
        <v>145</v>
      </c>
      <c r="C23" s="466">
        <v>7231.5</v>
      </c>
      <c r="D23" s="465">
        <v>0</v>
      </c>
      <c r="E23" s="467">
        <v>0</v>
      </c>
      <c r="F23" s="465">
        <v>145</v>
      </c>
      <c r="G23" s="467">
        <v>7231.5</v>
      </c>
      <c r="H23" s="468" t="s">
        <v>1126</v>
      </c>
      <c r="I23" s="468">
        <v>193.24</v>
      </c>
      <c r="J23" s="33"/>
      <c r="K23" s="262"/>
    </row>
    <row r="24" spans="1:11" ht="12.75" customHeight="1">
      <c r="A24" s="464" t="s">
        <v>61</v>
      </c>
      <c r="B24" s="465">
        <v>192</v>
      </c>
      <c r="C24" s="466">
        <v>9576</v>
      </c>
      <c r="D24" s="465">
        <v>0</v>
      </c>
      <c r="E24" s="467">
        <v>0</v>
      </c>
      <c r="F24" s="465">
        <v>192</v>
      </c>
      <c r="G24" s="467">
        <v>9576</v>
      </c>
      <c r="H24" s="468">
        <v>1102119</v>
      </c>
      <c r="I24" s="468">
        <v>115.09179197994987</v>
      </c>
      <c r="J24" s="33"/>
      <c r="K24" s="262"/>
    </row>
    <row r="25" spans="1:11" ht="12.75" customHeight="1">
      <c r="A25" s="464" t="s">
        <v>872</v>
      </c>
      <c r="B25" s="378"/>
      <c r="C25" s="466">
        <v>0</v>
      </c>
      <c r="D25" s="465">
        <v>10</v>
      </c>
      <c r="E25" s="467">
        <v>499.2</v>
      </c>
      <c r="F25" s="465">
        <v>10</v>
      </c>
      <c r="G25" s="467">
        <v>499.2</v>
      </c>
      <c r="H25" s="468" t="s">
        <v>1127</v>
      </c>
      <c r="I25" s="468">
        <v>240</v>
      </c>
      <c r="J25" s="33"/>
      <c r="K25" s="262"/>
    </row>
    <row r="26" spans="1:11" ht="12.75" customHeight="1">
      <c r="A26" s="464" t="s">
        <v>67</v>
      </c>
      <c r="B26" s="465">
        <v>20</v>
      </c>
      <c r="C26" s="466">
        <v>996.5</v>
      </c>
      <c r="D26" s="465">
        <v>60</v>
      </c>
      <c r="E26" s="467">
        <v>2993.2</v>
      </c>
      <c r="F26" s="465">
        <v>80</v>
      </c>
      <c r="G26" s="467">
        <v>3989.7</v>
      </c>
      <c r="H26" s="468" t="s">
        <v>1128</v>
      </c>
      <c r="I26" s="468">
        <v>189.26</v>
      </c>
      <c r="J26" s="33"/>
      <c r="K26" s="262"/>
    </row>
    <row r="27" spans="1:11" ht="12.75" customHeight="1">
      <c r="A27" s="464" t="s">
        <v>71</v>
      </c>
      <c r="B27" s="465">
        <v>845</v>
      </c>
      <c r="C27" s="466">
        <v>42173.5</v>
      </c>
      <c r="D27" s="465">
        <v>175</v>
      </c>
      <c r="E27" s="467">
        <v>8730.6</v>
      </c>
      <c r="F27" s="469">
        <v>1020</v>
      </c>
      <c r="G27" s="467">
        <v>50904.1</v>
      </c>
      <c r="H27" s="468" t="s">
        <v>1129</v>
      </c>
      <c r="I27" s="468">
        <v>163.34</v>
      </c>
      <c r="J27" s="33"/>
      <c r="K27" s="262"/>
    </row>
    <row r="28" spans="1:11" ht="12.75" customHeight="1">
      <c r="A28" s="464" t="s">
        <v>1019</v>
      </c>
      <c r="B28" s="465">
        <v>10</v>
      </c>
      <c r="C28" s="466">
        <v>498.5</v>
      </c>
      <c r="D28" s="465">
        <v>25</v>
      </c>
      <c r="E28" s="467">
        <v>1246.8</v>
      </c>
      <c r="F28" s="465">
        <v>35</v>
      </c>
      <c r="G28" s="467">
        <v>1745.3</v>
      </c>
      <c r="H28" s="468" t="s">
        <v>1130</v>
      </c>
      <c r="I28" s="468">
        <v>155.73</v>
      </c>
      <c r="J28" s="33"/>
      <c r="K28" s="262"/>
    </row>
    <row r="29" spans="1:11" ht="12.75" customHeight="1">
      <c r="A29" s="464" t="s">
        <v>73</v>
      </c>
      <c r="B29" s="465">
        <f>70+10</f>
        <v>80</v>
      </c>
      <c r="C29" s="466">
        <f>3491+498.5</f>
        <v>3989.5</v>
      </c>
      <c r="D29" s="465">
        <v>0</v>
      </c>
      <c r="E29" s="467">
        <v>0</v>
      </c>
      <c r="F29" s="465">
        <v>90</v>
      </c>
      <c r="G29" s="467">
        <v>4488</v>
      </c>
      <c r="H29" s="468">
        <f>537653+34895</f>
        <v>572548</v>
      </c>
      <c r="I29" s="468">
        <f>H29/G29</f>
        <v>127.57308377896614</v>
      </c>
      <c r="J29" s="33"/>
      <c r="K29" s="262"/>
    </row>
    <row r="30" spans="1:11" ht="12.75" customHeight="1">
      <c r="A30" s="464" t="s">
        <v>75</v>
      </c>
      <c r="B30" s="465">
        <v>66</v>
      </c>
      <c r="C30" s="466">
        <v>3248</v>
      </c>
      <c r="D30" s="465">
        <v>10</v>
      </c>
      <c r="E30" s="467">
        <v>498.4</v>
      </c>
      <c r="F30" s="465">
        <v>76</v>
      </c>
      <c r="G30" s="467">
        <v>3746.4</v>
      </c>
      <c r="H30" s="468">
        <v>667005</v>
      </c>
      <c r="I30" s="468">
        <v>178.03891736066623</v>
      </c>
      <c r="J30" s="33"/>
      <c r="K30" s="262"/>
    </row>
    <row r="31" spans="1:11" ht="12.75" customHeight="1">
      <c r="A31" s="464" t="s">
        <v>77</v>
      </c>
      <c r="B31" s="465">
        <v>60</v>
      </c>
      <c r="C31" s="466">
        <v>2991</v>
      </c>
      <c r="D31" s="465">
        <v>15</v>
      </c>
      <c r="E31" s="467">
        <v>748.2</v>
      </c>
      <c r="F31" s="465">
        <v>75</v>
      </c>
      <c r="G31" s="467">
        <v>3739.2</v>
      </c>
      <c r="H31" s="468" t="s">
        <v>1131</v>
      </c>
      <c r="I31" s="468">
        <v>166.72</v>
      </c>
      <c r="J31" s="33"/>
      <c r="K31" s="262"/>
    </row>
    <row r="32" spans="1:11" ht="12.75" customHeight="1">
      <c r="A32" s="464" t="s">
        <v>445</v>
      </c>
      <c r="B32" s="465">
        <v>20</v>
      </c>
      <c r="C32" s="466">
        <v>997</v>
      </c>
      <c r="D32" s="465">
        <v>10</v>
      </c>
      <c r="E32" s="467">
        <v>499</v>
      </c>
      <c r="F32" s="465">
        <v>30</v>
      </c>
      <c r="G32" s="467">
        <v>1496</v>
      </c>
      <c r="H32" s="468" t="s">
        <v>1132</v>
      </c>
      <c r="I32" s="468">
        <v>235.83</v>
      </c>
      <c r="J32" s="33"/>
      <c r="K32" s="262"/>
    </row>
    <row r="33" spans="1:11" ht="12.75" customHeight="1">
      <c r="A33" s="464" t="s">
        <v>882</v>
      </c>
      <c r="B33" s="465">
        <v>80</v>
      </c>
      <c r="C33" s="466">
        <v>3994</v>
      </c>
      <c r="D33" s="465">
        <v>0</v>
      </c>
      <c r="E33" s="467">
        <v>0</v>
      </c>
      <c r="F33" s="465">
        <v>80</v>
      </c>
      <c r="G33" s="467">
        <v>3994</v>
      </c>
      <c r="H33" s="468" t="s">
        <v>1133</v>
      </c>
      <c r="I33" s="468">
        <v>104.64</v>
      </c>
      <c r="J33" s="33"/>
      <c r="K33" s="262"/>
    </row>
    <row r="34" spans="1:11" ht="12.75" customHeight="1">
      <c r="A34" s="464" t="s">
        <v>79</v>
      </c>
      <c r="B34" s="378"/>
      <c r="C34" s="466">
        <v>0</v>
      </c>
      <c r="D34" s="465">
        <v>10</v>
      </c>
      <c r="E34" s="467">
        <v>499.2</v>
      </c>
      <c r="F34" s="465">
        <v>10</v>
      </c>
      <c r="G34" s="467">
        <v>499.2</v>
      </c>
      <c r="H34" s="468">
        <v>93350.4</v>
      </c>
      <c r="I34" s="468">
        <v>187</v>
      </c>
      <c r="J34" s="33"/>
      <c r="K34" s="262"/>
    </row>
    <row r="35" spans="1:11" ht="12.75" customHeight="1">
      <c r="A35" s="464" t="s">
        <v>221</v>
      </c>
      <c r="B35" s="378"/>
      <c r="C35" s="466">
        <v>0</v>
      </c>
      <c r="D35" s="465">
        <v>50</v>
      </c>
      <c r="E35" s="467">
        <v>2495.2</v>
      </c>
      <c r="F35" s="465">
        <v>50</v>
      </c>
      <c r="G35" s="467">
        <v>2495.2</v>
      </c>
      <c r="H35" s="468" t="s">
        <v>1134</v>
      </c>
      <c r="I35" s="468">
        <v>136</v>
      </c>
      <c r="J35" s="33"/>
      <c r="K35" s="262"/>
    </row>
    <row r="36" spans="1:11" ht="12.75" customHeight="1">
      <c r="A36" s="464" t="s">
        <v>83</v>
      </c>
      <c r="B36" s="465">
        <v>285</v>
      </c>
      <c r="C36" s="466">
        <v>14221.5</v>
      </c>
      <c r="D36" s="465">
        <v>55</v>
      </c>
      <c r="E36" s="467">
        <v>2745.5</v>
      </c>
      <c r="F36" s="465">
        <v>340</v>
      </c>
      <c r="G36" s="467">
        <v>16967</v>
      </c>
      <c r="H36" s="468" t="s">
        <v>1135</v>
      </c>
      <c r="I36" s="468">
        <v>171.24</v>
      </c>
      <c r="J36" s="33"/>
      <c r="K36" s="262"/>
    </row>
    <row r="37" spans="1:11" ht="12.75" customHeight="1">
      <c r="A37" s="464" t="s">
        <v>150</v>
      </c>
      <c r="B37" s="465">
        <v>30</v>
      </c>
      <c r="C37" s="466">
        <v>1498.5</v>
      </c>
      <c r="D37" s="465">
        <v>0</v>
      </c>
      <c r="E37" s="467">
        <v>0</v>
      </c>
      <c r="F37" s="465">
        <v>30</v>
      </c>
      <c r="G37" s="467">
        <v>1498.5</v>
      </c>
      <c r="H37" s="468" t="s">
        <v>1136</v>
      </c>
      <c r="I37" s="468">
        <v>125</v>
      </c>
      <c r="J37" s="33"/>
      <c r="K37" s="262"/>
    </row>
    <row r="38" spans="1:11" ht="12.75" customHeight="1">
      <c r="A38" s="464" t="s">
        <v>92</v>
      </c>
      <c r="B38" s="465">
        <v>30</v>
      </c>
      <c r="C38" s="466">
        <v>1495.5</v>
      </c>
      <c r="D38" s="465">
        <v>55</v>
      </c>
      <c r="E38" s="467">
        <v>2745.5</v>
      </c>
      <c r="F38" s="465">
        <v>85</v>
      </c>
      <c r="G38" s="467">
        <v>4241</v>
      </c>
      <c r="H38" s="468" t="s">
        <v>1137</v>
      </c>
      <c r="I38" s="468">
        <v>160.96</v>
      </c>
      <c r="J38" s="33"/>
      <c r="K38" s="262"/>
    </row>
    <row r="39" spans="1:11" ht="12.75" customHeight="1">
      <c r="A39" s="464" t="s">
        <v>233</v>
      </c>
      <c r="B39" s="465">
        <v>20</v>
      </c>
      <c r="C39" s="466">
        <v>998.5</v>
      </c>
      <c r="D39" s="465">
        <v>0</v>
      </c>
      <c r="E39" s="467">
        <v>0</v>
      </c>
      <c r="F39" s="465">
        <v>20</v>
      </c>
      <c r="G39" s="467">
        <v>998.5</v>
      </c>
      <c r="H39" s="468" t="s">
        <v>1138</v>
      </c>
      <c r="I39" s="468">
        <v>108.51</v>
      </c>
      <c r="J39" s="33"/>
      <c r="K39" s="262"/>
    </row>
    <row r="40" spans="1:11" ht="12.75" customHeight="1">
      <c r="A40" s="464" t="s">
        <v>94</v>
      </c>
      <c r="B40" s="465">
        <v>20</v>
      </c>
      <c r="C40" s="466">
        <v>997</v>
      </c>
      <c r="D40" s="465">
        <v>75</v>
      </c>
      <c r="E40" s="467">
        <v>3741.9</v>
      </c>
      <c r="F40" s="465">
        <v>95</v>
      </c>
      <c r="G40" s="467">
        <v>4738.9</v>
      </c>
      <c r="H40" s="468" t="s">
        <v>1139</v>
      </c>
      <c r="I40" s="468">
        <v>202.48</v>
      </c>
      <c r="J40" s="33"/>
      <c r="K40" s="262"/>
    </row>
    <row r="41" spans="1:11" ht="12.75" customHeight="1">
      <c r="A41" s="464" t="s">
        <v>190</v>
      </c>
      <c r="B41" s="465">
        <v>40</v>
      </c>
      <c r="C41" s="466">
        <v>1994</v>
      </c>
      <c r="D41" s="465">
        <v>0</v>
      </c>
      <c r="E41" s="467">
        <v>0</v>
      </c>
      <c r="F41" s="465">
        <v>40</v>
      </c>
      <c r="G41" s="467">
        <v>1994</v>
      </c>
      <c r="H41" s="468" t="s">
        <v>1140</v>
      </c>
      <c r="I41" s="468">
        <v>166.75</v>
      </c>
      <c r="J41" s="33"/>
      <c r="K41" s="262"/>
    </row>
    <row r="42" spans="1:11" ht="12.75" customHeight="1">
      <c r="A42" s="464" t="s">
        <v>1068</v>
      </c>
      <c r="B42" s="465">
        <v>75</v>
      </c>
      <c r="C42" s="466">
        <v>3735</v>
      </c>
      <c r="D42" s="465">
        <v>10</v>
      </c>
      <c r="E42" s="467">
        <v>498.7</v>
      </c>
      <c r="F42" s="465">
        <v>85</v>
      </c>
      <c r="G42" s="467">
        <v>4233.7</v>
      </c>
      <c r="H42" s="468" t="s">
        <v>1141</v>
      </c>
      <c r="I42" s="468">
        <v>115.9</v>
      </c>
      <c r="J42" s="33"/>
      <c r="K42" s="262"/>
    </row>
    <row r="43" spans="1:11" ht="12.75" customHeight="1">
      <c r="A43" s="464" t="s">
        <v>98</v>
      </c>
      <c r="B43" s="465">
        <v>320</v>
      </c>
      <c r="C43" s="466">
        <v>15949</v>
      </c>
      <c r="D43" s="465">
        <v>0</v>
      </c>
      <c r="E43" s="467">
        <v>0</v>
      </c>
      <c r="F43" s="465">
        <v>320</v>
      </c>
      <c r="G43" s="467">
        <v>15949</v>
      </c>
      <c r="H43" s="468">
        <v>2756055</v>
      </c>
      <c r="I43" s="468">
        <v>172.80425105022258</v>
      </c>
      <c r="J43" s="33"/>
      <c r="K43" s="262"/>
    </row>
    <row r="44" spans="1:11" ht="12.75" customHeight="1">
      <c r="A44" s="464" t="s">
        <v>237</v>
      </c>
      <c r="B44" s="465">
        <v>15</v>
      </c>
      <c r="C44" s="466">
        <v>750</v>
      </c>
      <c r="D44" s="465">
        <v>0</v>
      </c>
      <c r="E44" s="467">
        <v>0</v>
      </c>
      <c r="F44" s="465">
        <v>15</v>
      </c>
      <c r="G44" s="467">
        <v>750</v>
      </c>
      <c r="H44" s="468" t="s">
        <v>1142</v>
      </c>
      <c r="I44" s="468">
        <v>193</v>
      </c>
      <c r="J44" s="33"/>
      <c r="K44" s="262"/>
    </row>
    <row r="45" spans="1:11" ht="12.75" customHeight="1">
      <c r="A45" s="464" t="s">
        <v>99</v>
      </c>
      <c r="B45" s="465">
        <v>55</v>
      </c>
      <c r="C45" s="466">
        <v>2737.5</v>
      </c>
      <c r="D45" s="465">
        <v>45</v>
      </c>
      <c r="E45" s="467">
        <v>2241.5</v>
      </c>
      <c r="F45" s="465">
        <v>100</v>
      </c>
      <c r="G45" s="467">
        <v>4979</v>
      </c>
      <c r="H45" s="468">
        <v>783419.6</v>
      </c>
      <c r="I45" s="468">
        <v>157.34476802570796</v>
      </c>
      <c r="J45" s="33"/>
      <c r="K45" s="262"/>
    </row>
    <row r="46" spans="1:11" ht="12.75" customHeight="1">
      <c r="A46" s="464" t="s">
        <v>552</v>
      </c>
      <c r="B46" s="465">
        <v>90</v>
      </c>
      <c r="C46" s="466">
        <v>4488</v>
      </c>
      <c r="D46" s="465">
        <v>0</v>
      </c>
      <c r="E46" s="467">
        <v>0</v>
      </c>
      <c r="F46" s="465">
        <v>90</v>
      </c>
      <c r="G46" s="467">
        <v>4488</v>
      </c>
      <c r="H46" s="468" t="s">
        <v>1143</v>
      </c>
      <c r="I46" s="468">
        <v>168</v>
      </c>
      <c r="J46" s="33"/>
      <c r="K46" s="262"/>
    </row>
    <row r="47" spans="1:11" ht="12.75" customHeight="1">
      <c r="A47" s="464" t="s">
        <v>271</v>
      </c>
      <c r="B47" s="465">
        <v>30</v>
      </c>
      <c r="C47" s="466">
        <v>1495.5</v>
      </c>
      <c r="D47" s="465">
        <v>0</v>
      </c>
      <c r="E47" s="467">
        <v>0</v>
      </c>
      <c r="F47" s="465">
        <v>30</v>
      </c>
      <c r="G47" s="467">
        <v>1495.5</v>
      </c>
      <c r="H47" s="468" t="s">
        <v>1144</v>
      </c>
      <c r="I47" s="468">
        <v>201</v>
      </c>
      <c r="J47" s="33"/>
      <c r="K47" s="262"/>
    </row>
    <row r="48" spans="1:11" ht="12.75" customHeight="1">
      <c r="A48" s="464" t="s">
        <v>194</v>
      </c>
      <c r="B48" s="465">
        <v>20</v>
      </c>
      <c r="C48" s="466">
        <v>995.5</v>
      </c>
      <c r="D48" s="465">
        <v>0</v>
      </c>
      <c r="E48" s="467">
        <v>0</v>
      </c>
      <c r="F48" s="465">
        <v>20</v>
      </c>
      <c r="G48" s="467">
        <v>995.5</v>
      </c>
      <c r="H48" s="468" t="s">
        <v>1145</v>
      </c>
      <c r="I48" s="468">
        <v>257.48</v>
      </c>
      <c r="J48" s="33"/>
      <c r="K48" s="262"/>
    </row>
    <row r="49" spans="1:11" ht="12.75" customHeight="1">
      <c r="A49" s="464" t="s">
        <v>14</v>
      </c>
      <c r="B49" s="469">
        <v>3970</v>
      </c>
      <c r="C49" s="470" t="s">
        <v>1146</v>
      </c>
      <c r="D49" s="465">
        <v>720</v>
      </c>
      <c r="E49" s="467">
        <v>35923.1</v>
      </c>
      <c r="F49" s="469">
        <v>4690</v>
      </c>
      <c r="G49" s="467" t="s">
        <v>1147</v>
      </c>
      <c r="H49" s="468" t="s">
        <v>1148</v>
      </c>
      <c r="I49" s="468">
        <v>167.04</v>
      </c>
      <c r="J49" s="33"/>
      <c r="K49" s="262"/>
    </row>
    <row r="50" spans="1:11" ht="12.75" customHeight="1">
      <c r="A50" s="351"/>
      <c r="B50" s="341"/>
      <c r="C50" s="343"/>
      <c r="D50" s="341"/>
      <c r="E50" s="343"/>
      <c r="F50" s="341"/>
      <c r="G50" s="343"/>
      <c r="H50" s="122"/>
      <c r="I50" s="122"/>
      <c r="J50" s="33"/>
      <c r="K50" s="262"/>
    </row>
    <row r="51" spans="1:10" ht="12.75" customHeight="1">
      <c r="A51" s="344"/>
      <c r="B51" s="355"/>
      <c r="C51" s="342"/>
      <c r="D51" s="355"/>
      <c r="E51" s="117"/>
      <c r="F51" s="356"/>
      <c r="G51" s="342" t="s">
        <v>119</v>
      </c>
      <c r="H51" s="118"/>
      <c r="I51" s="118"/>
      <c r="J51" s="114"/>
    </row>
    <row r="52" spans="1:10" ht="12.75" customHeight="1">
      <c r="A52" s="344"/>
      <c r="B52" s="355"/>
      <c r="C52" s="342"/>
      <c r="D52" s="355"/>
      <c r="E52" s="114"/>
      <c r="F52" s="117"/>
      <c r="G52" s="359" t="s">
        <v>121</v>
      </c>
      <c r="H52" s="118"/>
      <c r="I52" s="118"/>
      <c r="J52" s="114"/>
    </row>
    <row r="53" spans="1:10" ht="12.75" customHeight="1">
      <c r="A53" s="329" t="s">
        <v>117</v>
      </c>
      <c r="B53" s="355"/>
      <c r="C53" s="342"/>
      <c r="D53" s="355"/>
      <c r="E53" s="117"/>
      <c r="F53" s="355"/>
      <c r="G53" s="342"/>
      <c r="H53" s="118"/>
      <c r="I53" s="118"/>
      <c r="J53" s="114"/>
    </row>
    <row r="54" spans="1:10" ht="12.75" customHeight="1">
      <c r="A54" s="329" t="s">
        <v>118</v>
      </c>
      <c r="B54" s="355"/>
      <c r="C54" s="342"/>
      <c r="D54" s="355"/>
      <c r="E54" s="117"/>
      <c r="F54" s="355"/>
      <c r="G54" s="342"/>
      <c r="H54" s="118"/>
      <c r="I54" s="118"/>
      <c r="J54" s="114"/>
    </row>
    <row r="55" spans="1:10" ht="12.75" customHeight="1">
      <c r="A55" s="329" t="s">
        <v>120</v>
      </c>
      <c r="B55" s="355"/>
      <c r="C55" s="342"/>
      <c r="D55" s="355"/>
      <c r="E55" s="117"/>
      <c r="F55" s="355"/>
      <c r="G55" s="342"/>
      <c r="H55" s="118"/>
      <c r="I55" s="118"/>
      <c r="J55" s="114"/>
    </row>
    <row r="56" spans="1:10" ht="12.75" customHeight="1">
      <c r="A56" s="329" t="s">
        <v>122</v>
      </c>
      <c r="B56" s="355"/>
      <c r="C56" s="342"/>
      <c r="D56" s="355"/>
      <c r="E56" s="117"/>
      <c r="F56" s="355"/>
      <c r="G56" s="342"/>
      <c r="H56" s="118"/>
      <c r="I56" s="118"/>
      <c r="J56" s="114"/>
    </row>
    <row r="57" spans="1:10" ht="12.75" customHeight="1">
      <c r="A57" s="329" t="s">
        <v>123</v>
      </c>
      <c r="B57" s="355"/>
      <c r="C57" s="342"/>
      <c r="D57" s="355"/>
      <c r="E57" s="117"/>
      <c r="F57" s="355"/>
      <c r="G57" s="342"/>
      <c r="H57" s="118"/>
      <c r="I57" s="118"/>
      <c r="J57" s="114"/>
    </row>
    <row r="58" spans="1:10" ht="12.75" customHeight="1">
      <c r="A58" s="114"/>
      <c r="B58" s="355"/>
      <c r="C58" s="342"/>
      <c r="D58" s="355"/>
      <c r="E58" s="117"/>
      <c r="F58" s="355"/>
      <c r="G58" s="342"/>
      <c r="H58" s="118"/>
      <c r="I58" s="118"/>
      <c r="J58" s="114"/>
    </row>
    <row r="59" spans="1:10" ht="12.75" customHeight="1">
      <c r="A59" s="114"/>
      <c r="B59" s="355"/>
      <c r="C59" s="342"/>
      <c r="D59" s="355"/>
      <c r="E59" s="117"/>
      <c r="F59" s="355"/>
      <c r="G59" s="342"/>
      <c r="H59" s="118"/>
      <c r="I59" s="118"/>
      <c r="J59" s="114"/>
    </row>
    <row r="60" spans="1:10" ht="12.75" customHeight="1">
      <c r="A60" s="114"/>
      <c r="B60" s="355"/>
      <c r="C60" s="342"/>
      <c r="D60" s="355"/>
      <c r="E60" s="117"/>
      <c r="F60" s="355"/>
      <c r="G60" s="342"/>
      <c r="H60" s="118"/>
      <c r="I60" s="118"/>
      <c r="J60" s="114"/>
    </row>
    <row r="61" spans="1:10" ht="12.75" customHeight="1">
      <c r="A61" s="114"/>
      <c r="B61" s="355"/>
      <c r="C61" s="342"/>
      <c r="D61" s="355"/>
      <c r="E61" s="117"/>
      <c r="F61" s="355"/>
      <c r="G61" s="342"/>
      <c r="H61" s="118"/>
      <c r="I61" s="118"/>
      <c r="J61" s="114"/>
    </row>
    <row r="62" spans="1:10" ht="12.75" customHeight="1">
      <c r="A62" s="114"/>
      <c r="B62" s="355"/>
      <c r="C62" s="342"/>
      <c r="D62" s="355"/>
      <c r="E62" s="117"/>
      <c r="F62" s="355"/>
      <c r="G62" s="342"/>
      <c r="H62" s="118"/>
      <c r="I62" s="118"/>
      <c r="J62" s="114"/>
    </row>
    <row r="63" spans="1:10" ht="12.75" customHeight="1">
      <c r="A63" s="114"/>
      <c r="B63" s="355"/>
      <c r="C63" s="342"/>
      <c r="D63" s="355"/>
      <c r="E63" s="117"/>
      <c r="F63" s="355"/>
      <c r="G63" s="342"/>
      <c r="H63" s="118"/>
      <c r="I63" s="118"/>
      <c r="J63" s="114"/>
    </row>
    <row r="64" ht="12.75" customHeight="1">
      <c r="A64" s="1"/>
    </row>
    <row r="65" ht="12.75" customHeight="1">
      <c r="A65" s="1"/>
    </row>
    <row r="66" ht="12.75" customHeight="1">
      <c r="A66" s="1"/>
    </row>
    <row r="67" ht="12.75" customHeight="1">
      <c r="A67" s="1"/>
    </row>
    <row r="68" ht="12.75" customHeight="1">
      <c r="A68" s="1"/>
    </row>
  </sheetData>
  <sheetProtection/>
  <printOptions/>
  <pageMargins left="0.7" right="0.7" top="0.58" bottom="0.5" header="0.3" footer="0.3"/>
  <pageSetup horizontalDpi="600" verticalDpi="600" orientation="portrait" paperSize="9" scale="85" r:id="rId1"/>
  <headerFooter>
    <oddHeader>&amp;RProduce Brokers Limited
1349/A, North Agrabad, D.T. Road Askarabad (1st floor)
Chattogram-4224
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7.7109375" style="378" customWidth="1"/>
    <col min="2" max="2" width="7.140625" style="31" customWidth="1"/>
    <col min="3" max="3" width="10.28125" style="360" customWidth="1"/>
    <col min="4" max="4" width="7.421875" style="31" customWidth="1"/>
    <col min="5" max="5" width="9.28125" style="244" customWidth="1"/>
    <col min="6" max="6" width="7.140625" style="31" customWidth="1"/>
    <col min="7" max="7" width="10.00390625" style="360" customWidth="1"/>
    <col min="8" max="8" width="14.00390625" style="48" customWidth="1"/>
    <col min="9" max="9" width="9.28125" style="48" customWidth="1"/>
    <col min="10" max="15" width="8.8515625" style="378" customWidth="1"/>
    <col min="16" max="16" width="12.7109375" style="378" bestFit="1" customWidth="1"/>
    <col min="17" max="16384" width="9.140625" style="378" customWidth="1"/>
  </cols>
  <sheetData>
    <row r="1" spans="1:11" ht="12.75" customHeight="1">
      <c r="A1" s="329" t="s">
        <v>1078</v>
      </c>
      <c r="B1" s="330"/>
      <c r="C1" s="331"/>
      <c r="D1" s="330"/>
      <c r="E1" s="332"/>
      <c r="F1" s="330"/>
      <c r="G1" s="331"/>
      <c r="H1" s="333"/>
      <c r="I1" s="333"/>
      <c r="J1" s="33"/>
      <c r="K1" s="262"/>
    </row>
    <row r="2" spans="1:11" ht="12.75" customHeight="1">
      <c r="A2" s="329" t="s">
        <v>1079</v>
      </c>
      <c r="B2" s="330"/>
      <c r="C2" s="331"/>
      <c r="D2" s="330"/>
      <c r="E2" s="332"/>
      <c r="F2" s="330"/>
      <c r="G2" s="331"/>
      <c r="H2" s="333"/>
      <c r="I2" s="333"/>
      <c r="J2" s="33"/>
      <c r="K2" s="262"/>
    </row>
    <row r="3" spans="1:11" ht="12.75" customHeight="1">
      <c r="A3" s="329" t="s">
        <v>110</v>
      </c>
      <c r="B3" s="330"/>
      <c r="C3" s="331"/>
      <c r="D3" s="330"/>
      <c r="E3" s="332"/>
      <c r="F3" s="330"/>
      <c r="G3" s="331"/>
      <c r="H3" s="333"/>
      <c r="I3" s="333"/>
      <c r="J3" s="33"/>
      <c r="K3" s="262"/>
    </row>
    <row r="4" spans="1:11" ht="12.75" customHeight="1">
      <c r="A4" s="329" t="s">
        <v>5</v>
      </c>
      <c r="B4" s="330"/>
      <c r="C4" s="331"/>
      <c r="D4" s="330"/>
      <c r="E4" s="332"/>
      <c r="F4" s="330"/>
      <c r="G4" s="331"/>
      <c r="H4" s="333"/>
      <c r="I4" s="333"/>
      <c r="J4" s="33"/>
      <c r="K4" s="262"/>
    </row>
    <row r="5" spans="1:11" ht="12.75" customHeight="1">
      <c r="A5" s="329" t="s">
        <v>6</v>
      </c>
      <c r="B5" s="330"/>
      <c r="C5" s="331"/>
      <c r="D5" s="330"/>
      <c r="E5" s="334"/>
      <c r="F5" s="330"/>
      <c r="G5" s="331"/>
      <c r="H5" s="333"/>
      <c r="I5" s="333"/>
      <c r="J5" s="33"/>
      <c r="K5" s="262"/>
    </row>
    <row r="6" spans="1:11" ht="12.75" customHeight="1">
      <c r="A6" s="329" t="s">
        <v>111</v>
      </c>
      <c r="B6" s="330"/>
      <c r="C6" s="331"/>
      <c r="D6" s="330"/>
      <c r="E6" s="332"/>
      <c r="F6" s="330"/>
      <c r="G6" s="331"/>
      <c r="H6" s="333"/>
      <c r="I6" s="333"/>
      <c r="J6" s="33"/>
      <c r="K6" s="262"/>
    </row>
    <row r="7" spans="1:11" ht="12.75" customHeight="1">
      <c r="A7" s="329" t="s">
        <v>112</v>
      </c>
      <c r="B7" s="330"/>
      <c r="C7" s="331"/>
      <c r="D7" s="330"/>
      <c r="E7" s="335" t="s">
        <v>113</v>
      </c>
      <c r="F7" s="330"/>
      <c r="G7" s="331"/>
      <c r="H7" s="333"/>
      <c r="I7" s="333"/>
      <c r="J7" s="33"/>
      <c r="K7" s="262"/>
    </row>
    <row r="8" spans="1:11" ht="12.75" customHeight="1">
      <c r="A8" s="336" t="s">
        <v>1080</v>
      </c>
      <c r="B8" s="337"/>
      <c r="C8" s="338"/>
      <c r="D8" s="337"/>
      <c r="E8" s="339"/>
      <c r="F8" s="337"/>
      <c r="G8" s="338"/>
      <c r="H8" s="340"/>
      <c r="I8" s="340"/>
      <c r="J8" s="33"/>
      <c r="K8" s="262"/>
    </row>
    <row r="9" spans="1:11" ht="12.75" customHeight="1">
      <c r="A9" s="114"/>
      <c r="B9" s="341" t="s">
        <v>45</v>
      </c>
      <c r="C9" s="342"/>
      <c r="D9" s="341" t="s">
        <v>46</v>
      </c>
      <c r="E9" s="342"/>
      <c r="F9" s="341"/>
      <c r="G9" s="343" t="s">
        <v>47</v>
      </c>
      <c r="H9" s="118"/>
      <c r="I9" s="118"/>
      <c r="J9" s="33"/>
      <c r="K9" s="262"/>
    </row>
    <row r="10" spans="1:11" ht="12.75" customHeight="1">
      <c r="A10" s="344" t="s">
        <v>461</v>
      </c>
      <c r="B10" s="345" t="s">
        <v>49</v>
      </c>
      <c r="C10" s="346" t="s">
        <v>50</v>
      </c>
      <c r="D10" s="345" t="s">
        <v>49</v>
      </c>
      <c r="E10" s="346" t="s">
        <v>50</v>
      </c>
      <c r="F10" s="345" t="s">
        <v>49</v>
      </c>
      <c r="G10" s="346" t="s">
        <v>50</v>
      </c>
      <c r="H10" s="347" t="s">
        <v>51</v>
      </c>
      <c r="I10" s="347" t="s">
        <v>52</v>
      </c>
      <c r="J10" s="33"/>
      <c r="K10" s="262"/>
    </row>
    <row r="11" spans="1:11" ht="12.75" customHeight="1">
      <c r="A11" s="119" t="s">
        <v>466</v>
      </c>
      <c r="B11" s="348"/>
      <c r="C11" s="343">
        <v>0</v>
      </c>
      <c r="D11" s="115"/>
      <c r="E11" s="121"/>
      <c r="F11" s="115"/>
      <c r="G11" s="343"/>
      <c r="H11" s="122"/>
      <c r="I11" s="350"/>
      <c r="J11" s="33"/>
      <c r="K11" s="262"/>
    </row>
    <row r="12" spans="1:11" ht="12.75" customHeight="1">
      <c r="A12" s="114" t="s">
        <v>14</v>
      </c>
      <c r="B12" s="122">
        <f aca="true" t="shared" si="0" ref="B12:H12">SUM(B11)</f>
        <v>0</v>
      </c>
      <c r="C12" s="343">
        <f t="shared" si="0"/>
        <v>0</v>
      </c>
      <c r="D12" s="341">
        <f t="shared" si="0"/>
        <v>0</v>
      </c>
      <c r="E12" s="343">
        <f t="shared" si="0"/>
        <v>0</v>
      </c>
      <c r="F12" s="341">
        <f t="shared" si="0"/>
        <v>0</v>
      </c>
      <c r="G12" s="343">
        <f t="shared" si="0"/>
        <v>0</v>
      </c>
      <c r="H12" s="122">
        <f t="shared" si="0"/>
        <v>0</v>
      </c>
      <c r="I12" s="122" t="e">
        <f>H12/G12</f>
        <v>#DIV/0!</v>
      </c>
      <c r="J12" s="33"/>
      <c r="K12" s="262"/>
    </row>
    <row r="13" spans="1:11" ht="12.75" customHeight="1">
      <c r="A13" s="344" t="s">
        <v>462</v>
      </c>
      <c r="B13" s="345" t="s">
        <v>49</v>
      </c>
      <c r="C13" s="346" t="s">
        <v>50</v>
      </c>
      <c r="D13" s="345" t="s">
        <v>49</v>
      </c>
      <c r="E13" s="346" t="s">
        <v>50</v>
      </c>
      <c r="F13" s="345" t="s">
        <v>49</v>
      </c>
      <c r="G13" s="346" t="s">
        <v>50</v>
      </c>
      <c r="H13" s="347" t="s">
        <v>51</v>
      </c>
      <c r="I13" s="347" t="s">
        <v>52</v>
      </c>
      <c r="J13" s="33"/>
      <c r="K13" s="262"/>
    </row>
    <row r="14" spans="1:11" ht="12.75" customHeight="1">
      <c r="A14" s="351" t="s">
        <v>53</v>
      </c>
      <c r="B14" s="341">
        <v>1114</v>
      </c>
      <c r="C14" s="343">
        <v>55577</v>
      </c>
      <c r="D14" s="341">
        <v>50</v>
      </c>
      <c r="E14" s="343">
        <v>2496</v>
      </c>
      <c r="F14" s="341">
        <v>1164</v>
      </c>
      <c r="G14" s="343">
        <v>58073</v>
      </c>
      <c r="H14" s="122" t="s">
        <v>1081</v>
      </c>
      <c r="I14" s="122">
        <v>137.51</v>
      </c>
      <c r="J14" s="33"/>
      <c r="K14" s="262"/>
    </row>
    <row r="15" spans="1:11" ht="12.75" customHeight="1">
      <c r="A15" s="351" t="s">
        <v>572</v>
      </c>
      <c r="B15" s="341">
        <v>20</v>
      </c>
      <c r="C15" s="343">
        <v>998.5</v>
      </c>
      <c r="D15" s="341">
        <v>0</v>
      </c>
      <c r="E15" s="343">
        <v>0</v>
      </c>
      <c r="F15" s="341">
        <v>20</v>
      </c>
      <c r="G15" s="343">
        <v>998.5</v>
      </c>
      <c r="H15" s="122" t="s">
        <v>1082</v>
      </c>
      <c r="I15" s="122">
        <v>160.49</v>
      </c>
      <c r="J15" s="33"/>
      <c r="K15" s="262"/>
    </row>
    <row r="16" spans="1:11" ht="12.75" customHeight="1">
      <c r="A16" s="351" t="s">
        <v>469</v>
      </c>
      <c r="B16" s="341"/>
      <c r="C16" s="343">
        <v>0</v>
      </c>
      <c r="D16" s="341">
        <v>56</v>
      </c>
      <c r="E16" s="343">
        <v>2793.4</v>
      </c>
      <c r="F16" s="341">
        <v>56</v>
      </c>
      <c r="G16" s="343">
        <v>2793.4</v>
      </c>
      <c r="H16" s="122" t="s">
        <v>1083</v>
      </c>
      <c r="I16" s="122">
        <v>171.6</v>
      </c>
      <c r="J16" s="33"/>
      <c r="K16" s="262"/>
    </row>
    <row r="17" spans="1:11" ht="12.75" customHeight="1">
      <c r="A17" s="351" t="s">
        <v>128</v>
      </c>
      <c r="B17" s="341">
        <v>50</v>
      </c>
      <c r="C17" s="343">
        <v>2482</v>
      </c>
      <c r="D17" s="341">
        <v>0</v>
      </c>
      <c r="E17" s="343">
        <v>0</v>
      </c>
      <c r="F17" s="341">
        <v>50</v>
      </c>
      <c r="G17" s="343">
        <v>2482</v>
      </c>
      <c r="H17" s="122" t="s">
        <v>1084</v>
      </c>
      <c r="I17" s="122">
        <v>110.61</v>
      </c>
      <c r="J17" s="33"/>
      <c r="K17" s="262"/>
    </row>
    <row r="18" spans="1:11" ht="12.75" customHeight="1">
      <c r="A18" s="351" t="s">
        <v>171</v>
      </c>
      <c r="B18" s="341">
        <v>53</v>
      </c>
      <c r="C18" s="343">
        <v>2647</v>
      </c>
      <c r="D18" s="341">
        <v>0</v>
      </c>
      <c r="E18" s="343">
        <v>0</v>
      </c>
      <c r="F18" s="341">
        <v>53</v>
      </c>
      <c r="G18" s="343">
        <v>2647</v>
      </c>
      <c r="H18" s="122" t="s">
        <v>1085</v>
      </c>
      <c r="I18" s="122">
        <v>224.67</v>
      </c>
      <c r="J18" s="33"/>
      <c r="K18" s="262"/>
    </row>
    <row r="19" spans="1:11" ht="12.75" customHeight="1">
      <c r="A19" s="351" t="s">
        <v>640</v>
      </c>
      <c r="B19" s="341"/>
      <c r="C19" s="343">
        <v>0</v>
      </c>
      <c r="D19" s="341">
        <v>10</v>
      </c>
      <c r="E19" s="343">
        <v>499.2</v>
      </c>
      <c r="F19" s="341">
        <v>10</v>
      </c>
      <c r="G19" s="343">
        <v>499.2</v>
      </c>
      <c r="H19" s="122" t="s">
        <v>1086</v>
      </c>
      <c r="I19" s="122">
        <v>274</v>
      </c>
      <c r="J19" s="33"/>
      <c r="K19" s="262"/>
    </row>
    <row r="20" spans="1:11" ht="12.75" customHeight="1">
      <c r="A20" s="351" t="s">
        <v>57</v>
      </c>
      <c r="B20" s="341">
        <v>100</v>
      </c>
      <c r="C20" s="343">
        <v>4985</v>
      </c>
      <c r="D20" s="341">
        <v>0</v>
      </c>
      <c r="E20" s="343">
        <v>0</v>
      </c>
      <c r="F20" s="341">
        <v>100</v>
      </c>
      <c r="G20" s="343">
        <v>4985</v>
      </c>
      <c r="H20" s="122" t="s">
        <v>1087</v>
      </c>
      <c r="I20" s="122">
        <v>160.92</v>
      </c>
      <c r="J20" s="33"/>
      <c r="K20" s="262"/>
    </row>
    <row r="21" spans="1:11" ht="12.75" customHeight="1">
      <c r="A21" s="351" t="s">
        <v>176</v>
      </c>
      <c r="B21" s="341">
        <v>285</v>
      </c>
      <c r="C21" s="343">
        <v>14218.5</v>
      </c>
      <c r="D21" s="341">
        <v>20</v>
      </c>
      <c r="E21" s="343">
        <v>998.4</v>
      </c>
      <c r="F21" s="341">
        <v>305</v>
      </c>
      <c r="G21" s="343">
        <v>15216.9</v>
      </c>
      <c r="H21" s="122" t="s">
        <v>1088</v>
      </c>
      <c r="I21" s="122">
        <v>167.32</v>
      </c>
      <c r="J21" s="33"/>
      <c r="K21" s="262"/>
    </row>
    <row r="22" spans="1:11" ht="12.75" customHeight="1">
      <c r="A22" s="351" t="s">
        <v>475</v>
      </c>
      <c r="B22" s="341">
        <v>195</v>
      </c>
      <c r="C22" s="343">
        <v>9726</v>
      </c>
      <c r="D22" s="341">
        <v>0</v>
      </c>
      <c r="E22" s="343">
        <v>0</v>
      </c>
      <c r="F22" s="341">
        <v>195</v>
      </c>
      <c r="G22" s="343">
        <v>9726</v>
      </c>
      <c r="H22" s="122" t="s">
        <v>1089</v>
      </c>
      <c r="I22" s="122">
        <v>180.85</v>
      </c>
      <c r="J22" s="33"/>
      <c r="K22" s="262"/>
    </row>
    <row r="23" spans="1:11" ht="12.75" customHeight="1">
      <c r="A23" s="351" t="s">
        <v>59</v>
      </c>
      <c r="B23" s="341">
        <v>200</v>
      </c>
      <c r="C23" s="343">
        <v>9946</v>
      </c>
      <c r="D23" s="341">
        <v>0</v>
      </c>
      <c r="E23" s="343">
        <v>0</v>
      </c>
      <c r="F23" s="341">
        <v>200</v>
      </c>
      <c r="G23" s="343">
        <v>9946</v>
      </c>
      <c r="H23" s="122" t="s">
        <v>1090</v>
      </c>
      <c r="I23" s="122">
        <v>103.24</v>
      </c>
      <c r="J23" s="33"/>
      <c r="K23" s="262"/>
    </row>
    <row r="24" spans="1:11" ht="12.75" customHeight="1">
      <c r="A24" s="351" t="s">
        <v>63</v>
      </c>
      <c r="B24" s="341">
        <v>10</v>
      </c>
      <c r="C24" s="343">
        <v>498.5</v>
      </c>
      <c r="D24" s="341">
        <v>0</v>
      </c>
      <c r="E24" s="343">
        <v>0</v>
      </c>
      <c r="F24" s="341">
        <v>10</v>
      </c>
      <c r="G24" s="343">
        <v>498.5</v>
      </c>
      <c r="H24" s="122" t="s">
        <v>70</v>
      </c>
      <c r="I24" s="122">
        <v>260</v>
      </c>
      <c r="J24" s="33"/>
      <c r="K24" s="262"/>
    </row>
    <row r="25" spans="1:11" ht="12.75" customHeight="1">
      <c r="A25" s="351" t="s">
        <v>872</v>
      </c>
      <c r="B25" s="341"/>
      <c r="C25" s="343">
        <v>0</v>
      </c>
      <c r="D25" s="341">
        <v>10</v>
      </c>
      <c r="E25" s="343">
        <v>499.2</v>
      </c>
      <c r="F25" s="341">
        <v>10</v>
      </c>
      <c r="G25" s="343">
        <v>499.2</v>
      </c>
      <c r="H25" s="122">
        <v>69888</v>
      </c>
      <c r="I25" s="122">
        <v>140</v>
      </c>
      <c r="J25" s="33"/>
      <c r="K25" s="262"/>
    </row>
    <row r="26" spans="1:11" ht="12.75" customHeight="1">
      <c r="A26" s="351" t="s">
        <v>67</v>
      </c>
      <c r="B26" s="341">
        <v>60</v>
      </c>
      <c r="C26" s="343">
        <v>2994</v>
      </c>
      <c r="D26" s="341">
        <v>60</v>
      </c>
      <c r="E26" s="343">
        <v>2994.4</v>
      </c>
      <c r="F26" s="341">
        <v>120</v>
      </c>
      <c r="G26" s="343">
        <v>5988.4</v>
      </c>
      <c r="H26" s="122" t="s">
        <v>1091</v>
      </c>
      <c r="I26" s="122">
        <v>164.09</v>
      </c>
      <c r="J26" s="33"/>
      <c r="K26" s="262"/>
    </row>
    <row r="27" spans="1:11" ht="12.75" customHeight="1">
      <c r="A27" s="351" t="s">
        <v>71</v>
      </c>
      <c r="B27" s="341">
        <v>1590</v>
      </c>
      <c r="C27" s="343">
        <v>79345.5</v>
      </c>
      <c r="D27" s="341">
        <v>305</v>
      </c>
      <c r="E27" s="343">
        <v>15223.4</v>
      </c>
      <c r="F27" s="341">
        <v>1895</v>
      </c>
      <c r="G27" s="343">
        <v>94568.9</v>
      </c>
      <c r="H27" s="122" t="s">
        <v>1092</v>
      </c>
      <c r="I27" s="122">
        <v>174.14</v>
      </c>
      <c r="J27" s="33"/>
      <c r="K27" s="262"/>
    </row>
    <row r="28" spans="1:11" ht="12.75" customHeight="1">
      <c r="A28" s="351" t="s">
        <v>1019</v>
      </c>
      <c r="B28" s="341">
        <v>50</v>
      </c>
      <c r="C28" s="343">
        <v>2486.5</v>
      </c>
      <c r="D28" s="341">
        <v>55</v>
      </c>
      <c r="E28" s="343">
        <v>2739.4</v>
      </c>
      <c r="F28" s="341">
        <v>105</v>
      </c>
      <c r="G28" s="343">
        <v>5225.9</v>
      </c>
      <c r="H28" s="122" t="s">
        <v>1093</v>
      </c>
      <c r="I28" s="122">
        <v>148.56</v>
      </c>
      <c r="J28" s="33"/>
      <c r="K28" s="262"/>
    </row>
    <row r="29" spans="1:11" ht="12.75" customHeight="1">
      <c r="A29" s="351" t="s">
        <v>73</v>
      </c>
      <c r="B29" s="341">
        <v>125</v>
      </c>
      <c r="C29" s="343">
        <v>6235</v>
      </c>
      <c r="D29" s="341">
        <v>0</v>
      </c>
      <c r="E29" s="343">
        <v>0</v>
      </c>
      <c r="F29" s="341">
        <v>125</v>
      </c>
      <c r="G29" s="343">
        <v>6235</v>
      </c>
      <c r="H29" s="122" t="s">
        <v>1094</v>
      </c>
      <c r="I29" s="122">
        <v>124.91</v>
      </c>
      <c r="J29" s="33"/>
      <c r="K29" s="262"/>
    </row>
    <row r="30" spans="1:11" ht="12.75" customHeight="1">
      <c r="A30" s="351" t="s">
        <v>918</v>
      </c>
      <c r="B30" s="341">
        <v>20</v>
      </c>
      <c r="C30" s="343">
        <v>998.5</v>
      </c>
      <c r="D30" s="341">
        <v>0</v>
      </c>
      <c r="E30" s="343">
        <v>0</v>
      </c>
      <c r="F30" s="341">
        <v>20</v>
      </c>
      <c r="G30" s="343">
        <v>998.5</v>
      </c>
      <c r="H30" s="122" t="s">
        <v>871</v>
      </c>
      <c r="I30" s="122">
        <v>105</v>
      </c>
      <c r="J30" s="33"/>
      <c r="K30" s="262"/>
    </row>
    <row r="31" spans="1:11" ht="12.75" customHeight="1">
      <c r="A31" s="351" t="s">
        <v>1095</v>
      </c>
      <c r="B31" s="341">
        <v>100</v>
      </c>
      <c r="C31" s="343">
        <v>4979</v>
      </c>
      <c r="D31" s="341">
        <v>73</v>
      </c>
      <c r="E31" s="343">
        <v>3642</v>
      </c>
      <c r="F31" s="341">
        <v>173</v>
      </c>
      <c r="G31" s="343">
        <v>8621</v>
      </c>
      <c r="H31" s="122">
        <v>1125121.1</v>
      </c>
      <c r="I31" s="122">
        <v>130.50934926342651</v>
      </c>
      <c r="J31" s="33"/>
      <c r="K31" s="262"/>
    </row>
    <row r="32" spans="1:11" ht="12.75" customHeight="1">
      <c r="A32" s="351" t="s">
        <v>77</v>
      </c>
      <c r="B32" s="341">
        <v>10</v>
      </c>
      <c r="C32" s="343">
        <v>498.5</v>
      </c>
      <c r="D32" s="341">
        <v>57</v>
      </c>
      <c r="E32" s="343">
        <v>2841</v>
      </c>
      <c r="F32" s="341">
        <v>67</v>
      </c>
      <c r="G32" s="343">
        <v>3339.5</v>
      </c>
      <c r="H32" s="122" t="s">
        <v>1096</v>
      </c>
      <c r="I32" s="122">
        <v>121.87</v>
      </c>
      <c r="J32" s="33"/>
      <c r="K32" s="262"/>
    </row>
    <row r="33" spans="1:11" ht="12.75" customHeight="1">
      <c r="A33" s="351" t="s">
        <v>221</v>
      </c>
      <c r="B33" s="341">
        <v>40</v>
      </c>
      <c r="C33" s="343">
        <v>1997</v>
      </c>
      <c r="D33" s="341">
        <v>115</v>
      </c>
      <c r="E33" s="343">
        <v>5735.3</v>
      </c>
      <c r="F33" s="341">
        <v>155</v>
      </c>
      <c r="G33" s="343">
        <v>7732.3</v>
      </c>
      <c r="H33" s="122" t="s">
        <v>1097</v>
      </c>
      <c r="I33" s="122">
        <v>139.31</v>
      </c>
      <c r="J33" s="33"/>
      <c r="K33" s="262"/>
    </row>
    <row r="34" spans="1:11" ht="12.75" customHeight="1">
      <c r="A34" s="351" t="s">
        <v>146</v>
      </c>
      <c r="B34" s="341">
        <v>60</v>
      </c>
      <c r="C34" s="343">
        <v>2988</v>
      </c>
      <c r="D34" s="341">
        <v>0</v>
      </c>
      <c r="E34" s="343">
        <v>0</v>
      </c>
      <c r="F34" s="341">
        <v>60</v>
      </c>
      <c r="G34" s="343">
        <v>2988</v>
      </c>
      <c r="H34" s="122" t="s">
        <v>1098</v>
      </c>
      <c r="I34" s="122">
        <v>104.67</v>
      </c>
      <c r="J34" s="33"/>
      <c r="K34" s="262"/>
    </row>
    <row r="35" spans="1:11" ht="12.75" customHeight="1">
      <c r="A35" s="351" t="s">
        <v>83</v>
      </c>
      <c r="B35" s="341">
        <v>445</v>
      </c>
      <c r="C35" s="343">
        <v>22185.5</v>
      </c>
      <c r="D35" s="341">
        <v>55</v>
      </c>
      <c r="E35" s="343">
        <v>2742</v>
      </c>
      <c r="F35" s="341">
        <v>500</v>
      </c>
      <c r="G35" s="343">
        <v>24927.5</v>
      </c>
      <c r="H35" s="122" t="s">
        <v>1099</v>
      </c>
      <c r="I35" s="122">
        <v>148.87</v>
      </c>
      <c r="J35" s="33"/>
      <c r="K35" s="262"/>
    </row>
    <row r="36" spans="1:11" ht="12.75" customHeight="1">
      <c r="A36" s="351" t="s">
        <v>342</v>
      </c>
      <c r="B36" s="341"/>
      <c r="C36" s="343">
        <v>0</v>
      </c>
      <c r="D36" s="341">
        <v>20</v>
      </c>
      <c r="E36" s="343">
        <v>995.2</v>
      </c>
      <c r="F36" s="341">
        <v>20</v>
      </c>
      <c r="G36" s="343">
        <v>995.2</v>
      </c>
      <c r="H36" s="122" t="s">
        <v>1100</v>
      </c>
      <c r="I36" s="122">
        <v>112.5</v>
      </c>
      <c r="J36" s="33"/>
      <c r="K36" s="262"/>
    </row>
    <row r="37" spans="1:11" ht="12.75" customHeight="1">
      <c r="A37" s="351" t="s">
        <v>85</v>
      </c>
      <c r="B37" s="341">
        <v>10</v>
      </c>
      <c r="C37" s="343">
        <v>498.5</v>
      </c>
      <c r="D37" s="341">
        <v>0</v>
      </c>
      <c r="E37" s="343">
        <v>0</v>
      </c>
      <c r="F37" s="341">
        <v>10</v>
      </c>
      <c r="G37" s="343">
        <v>498.5</v>
      </c>
      <c r="H37" s="122">
        <v>52342.5</v>
      </c>
      <c r="I37" s="122">
        <v>105</v>
      </c>
      <c r="J37" s="33"/>
      <c r="K37" s="262"/>
    </row>
    <row r="38" spans="1:11" ht="12.75" customHeight="1">
      <c r="A38" s="351" t="s">
        <v>150</v>
      </c>
      <c r="B38" s="341">
        <v>90</v>
      </c>
      <c r="C38" s="343">
        <v>4485</v>
      </c>
      <c r="D38" s="341">
        <v>0</v>
      </c>
      <c r="E38" s="343">
        <v>0</v>
      </c>
      <c r="F38" s="341">
        <v>90</v>
      </c>
      <c r="G38" s="343">
        <v>4485</v>
      </c>
      <c r="H38" s="122" t="s">
        <v>1101</v>
      </c>
      <c r="I38" s="122">
        <v>107.45</v>
      </c>
      <c r="J38" s="33"/>
      <c r="K38" s="262"/>
    </row>
    <row r="39" spans="1:11" ht="12.75" customHeight="1">
      <c r="A39" s="351" t="s">
        <v>92</v>
      </c>
      <c r="B39" s="341">
        <v>10</v>
      </c>
      <c r="C39" s="343">
        <v>498.5</v>
      </c>
      <c r="D39" s="341">
        <v>95</v>
      </c>
      <c r="E39" s="343">
        <v>4741.3</v>
      </c>
      <c r="F39" s="341">
        <v>105</v>
      </c>
      <c r="G39" s="343">
        <v>5239.8</v>
      </c>
      <c r="H39" s="122" t="s">
        <v>1102</v>
      </c>
      <c r="I39" s="122">
        <v>191.25</v>
      </c>
      <c r="J39" s="33"/>
      <c r="K39" s="262"/>
    </row>
    <row r="40" spans="1:11" ht="12.75" customHeight="1">
      <c r="A40" s="351" t="s">
        <v>233</v>
      </c>
      <c r="B40" s="341">
        <v>70</v>
      </c>
      <c r="C40" s="343">
        <v>3494</v>
      </c>
      <c r="D40" s="341">
        <v>0</v>
      </c>
      <c r="E40" s="343">
        <v>0</v>
      </c>
      <c r="F40" s="341">
        <v>70</v>
      </c>
      <c r="G40" s="343">
        <v>3494</v>
      </c>
      <c r="H40" s="122" t="s">
        <v>1103</v>
      </c>
      <c r="I40" s="122">
        <v>164.29</v>
      </c>
      <c r="J40" s="33"/>
      <c r="K40" s="262"/>
    </row>
    <row r="41" spans="1:11" ht="12.75" customHeight="1">
      <c r="A41" s="351" t="s">
        <v>94</v>
      </c>
      <c r="B41" s="341"/>
      <c r="C41" s="343">
        <v>0</v>
      </c>
      <c r="D41" s="341">
        <v>30</v>
      </c>
      <c r="E41" s="343">
        <v>1497.6</v>
      </c>
      <c r="F41" s="341">
        <v>30</v>
      </c>
      <c r="G41" s="343">
        <v>1497.6</v>
      </c>
      <c r="H41" s="122" t="s">
        <v>1104</v>
      </c>
      <c r="I41" s="122">
        <v>208.33</v>
      </c>
      <c r="J41" s="33"/>
      <c r="K41" s="262"/>
    </row>
    <row r="42" spans="1:11" ht="12.75" customHeight="1">
      <c r="A42" s="351" t="s">
        <v>1105</v>
      </c>
      <c r="B42" s="341"/>
      <c r="C42" s="343">
        <v>0</v>
      </c>
      <c r="D42" s="341">
        <v>10</v>
      </c>
      <c r="E42" s="343">
        <v>499.2</v>
      </c>
      <c r="F42" s="341">
        <v>10</v>
      </c>
      <c r="G42" s="343">
        <v>499.2</v>
      </c>
      <c r="H42" s="122">
        <v>49920</v>
      </c>
      <c r="I42" s="122">
        <v>100</v>
      </c>
      <c r="J42" s="33"/>
      <c r="K42" s="262"/>
    </row>
    <row r="43" spans="1:11" ht="12.75" customHeight="1">
      <c r="A43" s="351" t="s">
        <v>96</v>
      </c>
      <c r="B43" s="341">
        <v>70</v>
      </c>
      <c r="C43" s="343">
        <v>3486.5</v>
      </c>
      <c r="D43" s="341">
        <v>0</v>
      </c>
      <c r="E43" s="343">
        <v>0</v>
      </c>
      <c r="F43" s="341">
        <v>70</v>
      </c>
      <c r="G43" s="343">
        <v>3486.5</v>
      </c>
      <c r="H43" s="122" t="s">
        <v>1106</v>
      </c>
      <c r="I43" s="122">
        <v>152.81</v>
      </c>
      <c r="J43" s="33"/>
      <c r="K43" s="262"/>
    </row>
    <row r="44" spans="1:11" ht="12.75" customHeight="1">
      <c r="A44" s="351" t="s">
        <v>1068</v>
      </c>
      <c r="B44" s="341">
        <v>140</v>
      </c>
      <c r="C44" s="343">
        <v>6974.5</v>
      </c>
      <c r="D44" s="341">
        <v>0</v>
      </c>
      <c r="E44" s="343">
        <v>0</v>
      </c>
      <c r="F44" s="341">
        <v>140</v>
      </c>
      <c r="G44" s="343">
        <v>6974.5</v>
      </c>
      <c r="H44" s="122" t="s">
        <v>1107</v>
      </c>
      <c r="I44" s="122">
        <v>133.09</v>
      </c>
      <c r="J44" s="33"/>
      <c r="K44" s="262"/>
    </row>
    <row r="45" spans="1:11" ht="12.75" customHeight="1">
      <c r="A45" s="351" t="s">
        <v>98</v>
      </c>
      <c r="B45" s="341">
        <v>80</v>
      </c>
      <c r="C45" s="343">
        <v>3977.5</v>
      </c>
      <c r="D45" s="341">
        <v>10</v>
      </c>
      <c r="E45" s="343">
        <v>499.2</v>
      </c>
      <c r="F45" s="341">
        <v>90</v>
      </c>
      <c r="G45" s="343">
        <v>4476.7</v>
      </c>
      <c r="H45" s="122">
        <v>450706</v>
      </c>
      <c r="I45" s="122">
        <v>100.67817812227757</v>
      </c>
      <c r="J45" s="33"/>
      <c r="K45" s="262"/>
    </row>
    <row r="46" spans="1:11" ht="12.75" customHeight="1">
      <c r="A46" s="351" t="s">
        <v>237</v>
      </c>
      <c r="B46" s="341">
        <v>40</v>
      </c>
      <c r="C46" s="343">
        <v>1997</v>
      </c>
      <c r="D46" s="341">
        <v>0</v>
      </c>
      <c r="E46" s="343">
        <v>0</v>
      </c>
      <c r="F46" s="341">
        <v>40</v>
      </c>
      <c r="G46" s="343">
        <v>1997</v>
      </c>
      <c r="H46" s="122" t="s">
        <v>1108</v>
      </c>
      <c r="I46" s="122">
        <v>180.63</v>
      </c>
      <c r="J46" s="33"/>
      <c r="K46" s="262"/>
    </row>
    <row r="47" spans="1:11" ht="12.75" customHeight="1">
      <c r="A47" s="351" t="s">
        <v>99</v>
      </c>
      <c r="B47" s="341">
        <v>241</v>
      </c>
      <c r="C47" s="343">
        <v>12011</v>
      </c>
      <c r="D47" s="341">
        <v>20</v>
      </c>
      <c r="E47" s="343">
        <v>998.4</v>
      </c>
      <c r="F47" s="341">
        <v>261</v>
      </c>
      <c r="G47" s="343">
        <v>13009.4</v>
      </c>
      <c r="H47" s="122" t="s">
        <v>1109</v>
      </c>
      <c r="I47" s="122">
        <v>120.62</v>
      </c>
      <c r="J47" s="33"/>
      <c r="K47" s="262"/>
    </row>
    <row r="48" spans="1:11" ht="12.75" customHeight="1">
      <c r="A48" s="351" t="s">
        <v>101</v>
      </c>
      <c r="B48" s="341">
        <v>2</v>
      </c>
      <c r="C48" s="343">
        <v>10</v>
      </c>
      <c r="D48" s="341">
        <v>0</v>
      </c>
      <c r="E48" s="343">
        <v>0</v>
      </c>
      <c r="F48" s="341">
        <v>2</v>
      </c>
      <c r="G48" s="343">
        <v>10</v>
      </c>
      <c r="H48" s="122">
        <v>13500</v>
      </c>
      <c r="I48" s="122">
        <v>1350</v>
      </c>
      <c r="J48" s="33"/>
      <c r="K48" s="262"/>
    </row>
    <row r="49" spans="1:11" ht="12.75" customHeight="1">
      <c r="A49" s="351" t="s">
        <v>552</v>
      </c>
      <c r="B49" s="341">
        <v>20</v>
      </c>
      <c r="C49" s="343">
        <v>997</v>
      </c>
      <c r="D49" s="341">
        <v>0</v>
      </c>
      <c r="E49" s="343">
        <v>0</v>
      </c>
      <c r="F49" s="341">
        <v>20</v>
      </c>
      <c r="G49" s="343">
        <v>997</v>
      </c>
      <c r="H49" s="122" t="s">
        <v>1110</v>
      </c>
      <c r="I49" s="122">
        <v>193.98</v>
      </c>
      <c r="J49" s="33"/>
      <c r="K49" s="262"/>
    </row>
    <row r="50" spans="1:11" ht="12.75" customHeight="1">
      <c r="A50" s="351" t="s">
        <v>578</v>
      </c>
      <c r="B50" s="341">
        <v>40</v>
      </c>
      <c r="C50" s="343">
        <v>1991</v>
      </c>
      <c r="D50" s="341">
        <v>0</v>
      </c>
      <c r="E50" s="343">
        <v>0</v>
      </c>
      <c r="F50" s="341">
        <v>40</v>
      </c>
      <c r="G50" s="343">
        <v>1991</v>
      </c>
      <c r="H50" s="122" t="s">
        <v>1111</v>
      </c>
      <c r="I50" s="122">
        <v>100</v>
      </c>
      <c r="J50" s="33"/>
      <c r="K50" s="262"/>
    </row>
    <row r="51" spans="1:11" ht="12.75" customHeight="1">
      <c r="A51" s="351" t="s">
        <v>1112</v>
      </c>
      <c r="B51" s="341">
        <v>10</v>
      </c>
      <c r="C51" s="343">
        <v>498.5</v>
      </c>
      <c r="D51" s="341">
        <v>0</v>
      </c>
      <c r="E51" s="343">
        <v>0</v>
      </c>
      <c r="F51" s="341">
        <v>10</v>
      </c>
      <c r="G51" s="343">
        <v>498.5</v>
      </c>
      <c r="H51" s="122">
        <v>58823</v>
      </c>
      <c r="I51" s="122">
        <v>118</v>
      </c>
      <c r="J51" s="33"/>
      <c r="K51" s="262"/>
    </row>
    <row r="52" spans="1:11" ht="12.75" customHeight="1">
      <c r="A52" s="351" t="s">
        <v>14</v>
      </c>
      <c r="B52" s="341">
        <v>5350</v>
      </c>
      <c r="C52" s="343" t="s">
        <v>1113</v>
      </c>
      <c r="D52" s="341">
        <v>1051</v>
      </c>
      <c r="E52" s="343">
        <v>52434.6</v>
      </c>
      <c r="F52" s="341">
        <v>6401</v>
      </c>
      <c r="G52" s="343" t="s">
        <v>1114</v>
      </c>
      <c r="H52" s="122" t="s">
        <v>1115</v>
      </c>
      <c r="I52" s="122">
        <v>152.28</v>
      </c>
      <c r="J52" s="33"/>
      <c r="K52" s="262"/>
    </row>
    <row r="53" spans="1:11" ht="12.75" customHeight="1">
      <c r="A53" s="351"/>
      <c r="B53" s="341"/>
      <c r="C53" s="343"/>
      <c r="D53" s="341"/>
      <c r="E53" s="343"/>
      <c r="F53" s="341"/>
      <c r="G53" s="343"/>
      <c r="H53" s="122"/>
      <c r="I53" s="122"/>
      <c r="J53" s="33"/>
      <c r="K53" s="262"/>
    </row>
    <row r="54" spans="1:10" ht="12.75" customHeight="1">
      <c r="A54" s="344"/>
      <c r="B54" s="355"/>
      <c r="C54" s="342"/>
      <c r="D54" s="355"/>
      <c r="E54" s="117"/>
      <c r="F54" s="356"/>
      <c r="G54" s="342" t="s">
        <v>119</v>
      </c>
      <c r="H54" s="118"/>
      <c r="I54" s="118"/>
      <c r="J54" s="114"/>
    </row>
    <row r="55" spans="1:10" ht="12.75" customHeight="1">
      <c r="A55" s="344"/>
      <c r="B55" s="355"/>
      <c r="C55" s="342"/>
      <c r="D55" s="355"/>
      <c r="E55" s="114"/>
      <c r="F55" s="117"/>
      <c r="G55" s="359" t="s">
        <v>121</v>
      </c>
      <c r="H55" s="118"/>
      <c r="I55" s="118"/>
      <c r="J55" s="114"/>
    </row>
    <row r="56" spans="1:10" ht="12.75" customHeight="1">
      <c r="A56" s="329" t="s">
        <v>117</v>
      </c>
      <c r="B56" s="355"/>
      <c r="C56" s="342"/>
      <c r="D56" s="355"/>
      <c r="E56" s="117"/>
      <c r="F56" s="355"/>
      <c r="G56" s="342"/>
      <c r="H56" s="118"/>
      <c r="I56" s="118"/>
      <c r="J56" s="114"/>
    </row>
    <row r="57" spans="1:10" ht="12.75" customHeight="1">
      <c r="A57" s="329" t="s">
        <v>118</v>
      </c>
      <c r="B57" s="355"/>
      <c r="C57" s="342"/>
      <c r="D57" s="355"/>
      <c r="E57" s="117"/>
      <c r="F57" s="355"/>
      <c r="G57" s="342"/>
      <c r="H57" s="118"/>
      <c r="I57" s="118"/>
      <c r="J57" s="114"/>
    </row>
    <row r="58" spans="1:10" ht="12.75" customHeight="1">
      <c r="A58" s="329" t="s">
        <v>120</v>
      </c>
      <c r="B58" s="355"/>
      <c r="C58" s="342"/>
      <c r="D58" s="355"/>
      <c r="E58" s="117"/>
      <c r="F58" s="355"/>
      <c r="G58" s="342"/>
      <c r="H58" s="118"/>
      <c r="I58" s="118"/>
      <c r="J58" s="114"/>
    </row>
    <row r="59" spans="1:10" ht="12.75" customHeight="1">
      <c r="A59" s="329" t="s">
        <v>122</v>
      </c>
      <c r="B59" s="355"/>
      <c r="C59" s="342"/>
      <c r="D59" s="355"/>
      <c r="E59" s="117"/>
      <c r="F59" s="355"/>
      <c r="G59" s="342"/>
      <c r="H59" s="118"/>
      <c r="I59" s="118"/>
      <c r="J59" s="114"/>
    </row>
    <row r="60" spans="1:10" ht="12.75" customHeight="1">
      <c r="A60" s="329" t="s">
        <v>123</v>
      </c>
      <c r="B60" s="355"/>
      <c r="C60" s="342"/>
      <c r="D60" s="355"/>
      <c r="E60" s="117"/>
      <c r="F60" s="355"/>
      <c r="G60" s="342"/>
      <c r="H60" s="118"/>
      <c r="I60" s="118"/>
      <c r="J60" s="114"/>
    </row>
    <row r="61" spans="1:10" ht="12.75" customHeight="1">
      <c r="A61" s="114"/>
      <c r="B61" s="355"/>
      <c r="C61" s="342"/>
      <c r="D61" s="355"/>
      <c r="E61" s="117"/>
      <c r="F61" s="355"/>
      <c r="G61" s="342"/>
      <c r="H61" s="118"/>
      <c r="I61" s="118"/>
      <c r="J61" s="114"/>
    </row>
    <row r="62" spans="1:10" ht="12.75" customHeight="1">
      <c r="A62" s="114"/>
      <c r="B62" s="355"/>
      <c r="C62" s="342"/>
      <c r="D62" s="355"/>
      <c r="E62" s="117"/>
      <c r="F62" s="355"/>
      <c r="G62" s="342"/>
      <c r="H62" s="118"/>
      <c r="I62" s="118"/>
      <c r="J62" s="114"/>
    </row>
    <row r="63" spans="1:10" ht="12.75" customHeight="1">
      <c r="A63" s="114"/>
      <c r="B63" s="355"/>
      <c r="C63" s="342"/>
      <c r="D63" s="355"/>
      <c r="E63" s="117"/>
      <c r="F63" s="355"/>
      <c r="G63" s="342"/>
      <c r="H63" s="118"/>
      <c r="I63" s="118"/>
      <c r="J63" s="114"/>
    </row>
    <row r="64" spans="1:10" ht="12.75" customHeight="1">
      <c r="A64" s="114"/>
      <c r="B64" s="355"/>
      <c r="C64" s="342"/>
      <c r="D64" s="355"/>
      <c r="E64" s="117"/>
      <c r="F64" s="355"/>
      <c r="G64" s="342"/>
      <c r="H64" s="118"/>
      <c r="I64" s="118"/>
      <c r="J64" s="114"/>
    </row>
    <row r="65" spans="1:10" ht="12.75" customHeight="1">
      <c r="A65" s="114"/>
      <c r="B65" s="355"/>
      <c r="C65" s="342"/>
      <c r="D65" s="355"/>
      <c r="E65" s="117"/>
      <c r="F65" s="355"/>
      <c r="G65" s="342"/>
      <c r="H65" s="118"/>
      <c r="I65" s="118"/>
      <c r="J65" s="114"/>
    </row>
    <row r="66" spans="1:10" ht="12.75" customHeight="1">
      <c r="A66" s="114"/>
      <c r="B66" s="355"/>
      <c r="C66" s="342"/>
      <c r="D66" s="355"/>
      <c r="E66" s="117"/>
      <c r="F66" s="355"/>
      <c r="G66" s="342"/>
      <c r="H66" s="118"/>
      <c r="I66" s="118"/>
      <c r="J66" s="114"/>
    </row>
    <row r="67" ht="12.75" customHeight="1">
      <c r="A67" s="1"/>
    </row>
    <row r="68" ht="12.75" customHeight="1">
      <c r="A68" s="1"/>
    </row>
    <row r="69" ht="12.75" customHeight="1">
      <c r="A69" s="1"/>
    </row>
    <row r="70" ht="12.75" customHeight="1">
      <c r="A70" s="1"/>
    </row>
    <row r="71" ht="12.75" customHeight="1">
      <c r="A71" s="1"/>
    </row>
  </sheetData>
  <sheetProtection/>
  <printOptions/>
  <pageMargins left="0.7" right="0.7" top="0.58" bottom="0.5" header="0.3" footer="0.3"/>
  <pageSetup horizontalDpi="600" verticalDpi="600" orientation="portrait" paperSize="9" scale="85" r:id="rId1"/>
  <headerFooter>
    <oddHeader>&amp;RProduce Brokers Limited
1349/A, North Agrabad, D.T. Road Askarabad (1st floor)
Chattogram-4224
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7.7109375" style="378" customWidth="1"/>
    <col min="2" max="2" width="7.140625" style="31" customWidth="1"/>
    <col min="3" max="3" width="10.28125" style="360" customWidth="1"/>
    <col min="4" max="4" width="7.421875" style="31" customWidth="1"/>
    <col min="5" max="5" width="9.28125" style="244" customWidth="1"/>
    <col min="6" max="6" width="7.140625" style="31" customWidth="1"/>
    <col min="7" max="7" width="10.00390625" style="360" customWidth="1"/>
    <col min="8" max="8" width="14.00390625" style="48" customWidth="1"/>
    <col min="9" max="9" width="9.28125" style="48" customWidth="1"/>
    <col min="10" max="15" width="8.8515625" style="378" customWidth="1"/>
    <col min="16" max="16" width="12.7109375" style="378" bestFit="1" customWidth="1"/>
    <col min="17" max="16384" width="9.140625" style="378" customWidth="1"/>
  </cols>
  <sheetData>
    <row r="1" spans="1:11" ht="12.75" customHeight="1">
      <c r="A1" s="329" t="s">
        <v>1028</v>
      </c>
      <c r="B1" s="330"/>
      <c r="C1" s="331"/>
      <c r="D1" s="330"/>
      <c r="E1" s="332"/>
      <c r="F1" s="330"/>
      <c r="G1" s="331"/>
      <c r="H1" s="333"/>
      <c r="I1" s="333"/>
      <c r="J1" s="33"/>
      <c r="K1" s="262"/>
    </row>
    <row r="2" spans="1:11" ht="12.75" customHeight="1">
      <c r="A2" s="329" t="s">
        <v>1029</v>
      </c>
      <c r="B2" s="330"/>
      <c r="C2" s="331"/>
      <c r="D2" s="330"/>
      <c r="E2" s="332"/>
      <c r="F2" s="330"/>
      <c r="G2" s="331"/>
      <c r="H2" s="333"/>
      <c r="I2" s="333"/>
      <c r="J2" s="33"/>
      <c r="K2" s="262"/>
    </row>
    <row r="3" spans="1:11" ht="12.75" customHeight="1">
      <c r="A3" s="329" t="s">
        <v>110</v>
      </c>
      <c r="B3" s="330"/>
      <c r="C3" s="331"/>
      <c r="D3" s="330"/>
      <c r="E3" s="332"/>
      <c r="F3" s="330"/>
      <c r="G3" s="331"/>
      <c r="H3" s="333"/>
      <c r="I3" s="333"/>
      <c r="J3" s="33"/>
      <c r="K3" s="262"/>
    </row>
    <row r="4" spans="1:11" ht="12.75" customHeight="1">
      <c r="A4" s="329" t="s">
        <v>5</v>
      </c>
      <c r="B4" s="330"/>
      <c r="C4" s="331"/>
      <c r="D4" s="330"/>
      <c r="E4" s="332"/>
      <c r="F4" s="330"/>
      <c r="G4" s="331"/>
      <c r="H4" s="333"/>
      <c r="I4" s="333"/>
      <c r="J4" s="33"/>
      <c r="K4" s="262"/>
    </row>
    <row r="5" spans="1:11" ht="12.75" customHeight="1">
      <c r="A5" s="329" t="s">
        <v>6</v>
      </c>
      <c r="B5" s="330"/>
      <c r="C5" s="331"/>
      <c r="D5" s="330"/>
      <c r="E5" s="334"/>
      <c r="F5" s="330"/>
      <c r="G5" s="331"/>
      <c r="H5" s="333"/>
      <c r="I5" s="333"/>
      <c r="J5" s="33"/>
      <c r="K5" s="262"/>
    </row>
    <row r="6" spans="1:11" ht="12.75" customHeight="1">
      <c r="A6" s="329" t="s">
        <v>111</v>
      </c>
      <c r="B6" s="330"/>
      <c r="C6" s="331"/>
      <c r="D6" s="330"/>
      <c r="E6" s="332"/>
      <c r="F6" s="330"/>
      <c r="G6" s="331"/>
      <c r="H6" s="333"/>
      <c r="I6" s="333"/>
      <c r="J6" s="33"/>
      <c r="K6" s="262"/>
    </row>
    <row r="7" spans="1:11" ht="12.75" customHeight="1">
      <c r="A7" s="329" t="s">
        <v>112</v>
      </c>
      <c r="B7" s="330"/>
      <c r="C7" s="331"/>
      <c r="D7" s="330"/>
      <c r="E7" s="335" t="s">
        <v>113</v>
      </c>
      <c r="F7" s="330"/>
      <c r="G7" s="331"/>
      <c r="H7" s="333"/>
      <c r="I7" s="333"/>
      <c r="J7" s="33"/>
      <c r="K7" s="262"/>
    </row>
    <row r="8" spans="1:11" ht="12.75" customHeight="1">
      <c r="A8" s="336" t="s">
        <v>1030</v>
      </c>
      <c r="B8" s="337"/>
      <c r="C8" s="338"/>
      <c r="D8" s="337"/>
      <c r="E8" s="339"/>
      <c r="F8" s="337"/>
      <c r="G8" s="338"/>
      <c r="H8" s="340"/>
      <c r="I8" s="340"/>
      <c r="J8" s="33"/>
      <c r="K8" s="262"/>
    </row>
    <row r="9" spans="1:11" ht="12.75" customHeight="1">
      <c r="A9" s="114"/>
      <c r="B9" s="341" t="s">
        <v>45</v>
      </c>
      <c r="C9" s="342"/>
      <c r="D9" s="341" t="s">
        <v>46</v>
      </c>
      <c r="E9" s="342"/>
      <c r="F9" s="341"/>
      <c r="G9" s="343" t="s">
        <v>47</v>
      </c>
      <c r="H9" s="118"/>
      <c r="I9" s="118"/>
      <c r="J9" s="33"/>
      <c r="K9" s="262"/>
    </row>
    <row r="10" spans="1:11" ht="12.75" customHeight="1">
      <c r="A10" s="344" t="s">
        <v>461</v>
      </c>
      <c r="B10" s="345" t="s">
        <v>49</v>
      </c>
      <c r="C10" s="346" t="s">
        <v>50</v>
      </c>
      <c r="D10" s="345" t="s">
        <v>49</v>
      </c>
      <c r="E10" s="346" t="s">
        <v>50</v>
      </c>
      <c r="F10" s="345" t="s">
        <v>49</v>
      </c>
      <c r="G10" s="346" t="s">
        <v>50</v>
      </c>
      <c r="H10" s="347" t="s">
        <v>51</v>
      </c>
      <c r="I10" s="347" t="s">
        <v>52</v>
      </c>
      <c r="J10" s="33"/>
      <c r="K10" s="262"/>
    </row>
    <row r="11" spans="1:11" ht="12.75" customHeight="1">
      <c r="A11" s="119" t="s">
        <v>466</v>
      </c>
      <c r="B11" s="348"/>
      <c r="C11" s="343">
        <v>0</v>
      </c>
      <c r="D11" s="115"/>
      <c r="E11" s="121"/>
      <c r="F11" s="115"/>
      <c r="G11" s="343"/>
      <c r="H11" s="122"/>
      <c r="I11" s="350"/>
      <c r="J11" s="33"/>
      <c r="K11" s="262"/>
    </row>
    <row r="12" spans="1:11" ht="12.75" customHeight="1">
      <c r="A12" s="114" t="s">
        <v>14</v>
      </c>
      <c r="B12" s="122">
        <f aca="true" t="shared" si="0" ref="B12:H12">SUM(B11)</f>
        <v>0</v>
      </c>
      <c r="C12" s="343">
        <f t="shared" si="0"/>
        <v>0</v>
      </c>
      <c r="D12" s="341">
        <f t="shared" si="0"/>
        <v>0</v>
      </c>
      <c r="E12" s="343">
        <f t="shared" si="0"/>
        <v>0</v>
      </c>
      <c r="F12" s="341">
        <f t="shared" si="0"/>
        <v>0</v>
      </c>
      <c r="G12" s="343">
        <f t="shared" si="0"/>
        <v>0</v>
      </c>
      <c r="H12" s="122">
        <f t="shared" si="0"/>
        <v>0</v>
      </c>
      <c r="I12" s="122" t="e">
        <f>H12/G12</f>
        <v>#DIV/0!</v>
      </c>
      <c r="J12" s="33"/>
      <c r="K12" s="262"/>
    </row>
    <row r="13" spans="1:11" ht="12.75" customHeight="1">
      <c r="A13" s="344" t="s">
        <v>462</v>
      </c>
      <c r="B13" s="345" t="s">
        <v>49</v>
      </c>
      <c r="C13" s="346" t="s">
        <v>50</v>
      </c>
      <c r="D13" s="345" t="s">
        <v>49</v>
      </c>
      <c r="E13" s="346" t="s">
        <v>50</v>
      </c>
      <c r="F13" s="345" t="s">
        <v>49</v>
      </c>
      <c r="G13" s="346" t="s">
        <v>50</v>
      </c>
      <c r="H13" s="347" t="s">
        <v>51</v>
      </c>
      <c r="I13" s="347" t="s">
        <v>52</v>
      </c>
      <c r="J13" s="33"/>
      <c r="K13" s="262"/>
    </row>
    <row r="14" spans="1:11" ht="12.75" customHeight="1">
      <c r="A14" s="119" t="s">
        <v>319</v>
      </c>
      <c r="B14" s="115">
        <v>135</v>
      </c>
      <c r="C14" s="349">
        <v>6729</v>
      </c>
      <c r="D14" s="115">
        <v>0</v>
      </c>
      <c r="E14" s="121">
        <v>0</v>
      </c>
      <c r="F14" s="115">
        <v>135</v>
      </c>
      <c r="G14" s="121">
        <v>6729</v>
      </c>
      <c r="H14" s="122" t="s">
        <v>1031</v>
      </c>
      <c r="I14" s="122">
        <v>162.4</v>
      </c>
      <c r="J14" s="33"/>
      <c r="K14" s="262"/>
    </row>
    <row r="15" spans="1:11" ht="12.75" customHeight="1">
      <c r="A15" s="119" t="s">
        <v>53</v>
      </c>
      <c r="B15" s="115">
        <v>1188</v>
      </c>
      <c r="C15" s="349">
        <v>59279</v>
      </c>
      <c r="D15" s="115">
        <v>100</v>
      </c>
      <c r="E15" s="121">
        <v>4992.3</v>
      </c>
      <c r="F15" s="115">
        <v>1288</v>
      </c>
      <c r="G15" s="121">
        <v>64271.3</v>
      </c>
      <c r="H15" s="122" t="s">
        <v>1032</v>
      </c>
      <c r="I15" s="122">
        <v>146.45</v>
      </c>
      <c r="J15" s="33"/>
      <c r="K15" s="262"/>
    </row>
    <row r="16" spans="1:11" ht="12.75" customHeight="1">
      <c r="A16" s="119" t="s">
        <v>168</v>
      </c>
      <c r="B16" s="115">
        <v>21</v>
      </c>
      <c r="C16" s="349">
        <v>1047</v>
      </c>
      <c r="D16" s="115">
        <v>0</v>
      </c>
      <c r="E16" s="121">
        <v>0</v>
      </c>
      <c r="F16" s="115">
        <v>21</v>
      </c>
      <c r="G16" s="121">
        <v>1047</v>
      </c>
      <c r="H16" s="122" t="s">
        <v>1033</v>
      </c>
      <c r="I16" s="122">
        <v>271.3</v>
      </c>
      <c r="J16" s="33"/>
      <c r="K16" s="262"/>
    </row>
    <row r="17" spans="1:11" ht="12.75" customHeight="1">
      <c r="A17" s="119" t="s">
        <v>128</v>
      </c>
      <c r="B17" s="115">
        <v>100</v>
      </c>
      <c r="C17" s="349">
        <v>4982</v>
      </c>
      <c r="D17" s="115">
        <v>50</v>
      </c>
      <c r="E17" s="121">
        <v>2495.2</v>
      </c>
      <c r="F17" s="115">
        <v>150</v>
      </c>
      <c r="G17" s="121">
        <v>7477.2</v>
      </c>
      <c r="H17" s="122" t="s">
        <v>1034</v>
      </c>
      <c r="I17" s="122">
        <v>158.27</v>
      </c>
      <c r="J17" s="33"/>
      <c r="K17" s="262"/>
    </row>
    <row r="18" spans="1:11" ht="12.75" customHeight="1">
      <c r="A18" s="119" t="s">
        <v>171</v>
      </c>
      <c r="B18" s="115">
        <v>88</v>
      </c>
      <c r="C18" s="349">
        <v>4394</v>
      </c>
      <c r="D18" s="115">
        <v>0</v>
      </c>
      <c r="E18" s="121">
        <v>0</v>
      </c>
      <c r="F18" s="115">
        <v>88</v>
      </c>
      <c r="G18" s="121">
        <v>4394</v>
      </c>
      <c r="H18" s="122" t="s">
        <v>1035</v>
      </c>
      <c r="I18" s="122">
        <v>215.14</v>
      </c>
      <c r="J18" s="33"/>
      <c r="K18" s="262"/>
    </row>
    <row r="19" spans="1:11" ht="12.75" customHeight="1">
      <c r="A19" s="119" t="s">
        <v>57</v>
      </c>
      <c r="B19" s="115">
        <v>40</v>
      </c>
      <c r="C19" s="349">
        <v>1994</v>
      </c>
      <c r="D19" s="115">
        <v>0</v>
      </c>
      <c r="E19" s="121">
        <v>0</v>
      </c>
      <c r="F19" s="115">
        <v>40</v>
      </c>
      <c r="G19" s="121">
        <v>1994</v>
      </c>
      <c r="H19" s="122" t="s">
        <v>1036</v>
      </c>
      <c r="I19" s="122">
        <v>151.75</v>
      </c>
      <c r="J19" s="33"/>
      <c r="K19" s="262"/>
    </row>
    <row r="20" spans="1:11" ht="12.75" customHeight="1">
      <c r="A20" s="119" t="s">
        <v>205</v>
      </c>
      <c r="B20" s="115">
        <v>70</v>
      </c>
      <c r="C20" s="349">
        <v>3492.5</v>
      </c>
      <c r="D20" s="115">
        <v>0</v>
      </c>
      <c r="E20" s="121">
        <v>0</v>
      </c>
      <c r="F20" s="115">
        <v>70</v>
      </c>
      <c r="G20" s="121">
        <v>3492.5</v>
      </c>
      <c r="H20" s="122">
        <v>353757.5</v>
      </c>
      <c r="I20" s="122">
        <f>H20/G20</f>
        <v>101.29062276306371</v>
      </c>
      <c r="J20" s="33"/>
      <c r="K20" s="262"/>
    </row>
    <row r="21" spans="1:11" ht="12.75" customHeight="1">
      <c r="A21" s="119" t="s">
        <v>176</v>
      </c>
      <c r="B21" s="355"/>
      <c r="C21" s="349">
        <v>0</v>
      </c>
      <c r="D21" s="115">
        <v>20</v>
      </c>
      <c r="E21" s="121">
        <v>998.4</v>
      </c>
      <c r="F21" s="115">
        <v>20</v>
      </c>
      <c r="G21" s="121">
        <v>998.4</v>
      </c>
      <c r="H21" s="122" t="s">
        <v>1037</v>
      </c>
      <c r="I21" s="122">
        <v>147</v>
      </c>
      <c r="J21" s="33"/>
      <c r="K21" s="262"/>
    </row>
    <row r="22" spans="1:11" ht="12.75" customHeight="1">
      <c r="A22" s="119" t="s">
        <v>130</v>
      </c>
      <c r="B22" s="115">
        <v>10</v>
      </c>
      <c r="C22" s="349">
        <v>498.5</v>
      </c>
      <c r="D22" s="115">
        <v>0</v>
      </c>
      <c r="E22" s="121">
        <v>0</v>
      </c>
      <c r="F22" s="115">
        <v>10</v>
      </c>
      <c r="G22" s="121">
        <v>498.5</v>
      </c>
      <c r="H22" s="122">
        <v>57327.5</v>
      </c>
      <c r="I22" s="122">
        <v>115</v>
      </c>
      <c r="J22" s="33"/>
      <c r="K22" s="262"/>
    </row>
    <row r="23" spans="1:11" ht="12.75" customHeight="1">
      <c r="A23" s="119" t="s">
        <v>475</v>
      </c>
      <c r="B23" s="115">
        <v>80</v>
      </c>
      <c r="C23" s="349">
        <v>3989.5</v>
      </c>
      <c r="D23" s="115">
        <v>0</v>
      </c>
      <c r="E23" s="121">
        <v>0</v>
      </c>
      <c r="F23" s="115">
        <v>80</v>
      </c>
      <c r="G23" s="121">
        <v>3989.5</v>
      </c>
      <c r="H23" s="122" t="s">
        <v>1038</v>
      </c>
      <c r="I23" s="122">
        <v>180.88</v>
      </c>
      <c r="J23" s="33"/>
      <c r="K23" s="262"/>
    </row>
    <row r="24" spans="1:11" ht="12.75" customHeight="1">
      <c r="A24" s="119" t="s">
        <v>59</v>
      </c>
      <c r="B24" s="115">
        <v>190</v>
      </c>
      <c r="C24" s="349">
        <v>9474.5</v>
      </c>
      <c r="D24" s="115">
        <v>0</v>
      </c>
      <c r="E24" s="121">
        <v>0</v>
      </c>
      <c r="F24" s="115">
        <v>190</v>
      </c>
      <c r="G24" s="121">
        <v>9474.5</v>
      </c>
      <c r="H24" s="122" t="s">
        <v>1039</v>
      </c>
      <c r="I24" s="122">
        <v>99.8</v>
      </c>
      <c r="J24" s="33"/>
      <c r="K24" s="262"/>
    </row>
    <row r="25" spans="1:11" ht="12.75" customHeight="1">
      <c r="A25" s="119" t="s">
        <v>1040</v>
      </c>
      <c r="B25" s="115">
        <v>50</v>
      </c>
      <c r="C25" s="349">
        <v>2492.5</v>
      </c>
      <c r="D25" s="115">
        <v>20</v>
      </c>
      <c r="E25" s="121">
        <v>998.4</v>
      </c>
      <c r="F25" s="115">
        <v>70</v>
      </c>
      <c r="G25" s="121">
        <v>3490.9</v>
      </c>
      <c r="H25" s="122" t="s">
        <v>1041</v>
      </c>
      <c r="I25" s="122">
        <v>104.01</v>
      </c>
      <c r="J25" s="33"/>
      <c r="K25" s="262"/>
    </row>
    <row r="26" spans="1:11" ht="12.75" customHeight="1">
      <c r="A26" s="119" t="s">
        <v>61</v>
      </c>
      <c r="B26" s="115">
        <v>135</v>
      </c>
      <c r="C26" s="349">
        <v>6724.5</v>
      </c>
      <c r="D26" s="115">
        <v>0</v>
      </c>
      <c r="E26" s="121">
        <v>0</v>
      </c>
      <c r="F26" s="115">
        <v>135</v>
      </c>
      <c r="G26" s="121">
        <v>6724.5</v>
      </c>
      <c r="H26" s="122" t="s">
        <v>1042</v>
      </c>
      <c r="I26" s="122">
        <v>105.54</v>
      </c>
      <c r="J26" s="33"/>
      <c r="K26" s="262"/>
    </row>
    <row r="27" spans="1:11" ht="12.75" customHeight="1">
      <c r="A27" s="119" t="s">
        <v>63</v>
      </c>
      <c r="B27" s="115">
        <v>34</v>
      </c>
      <c r="C27" s="349">
        <v>1700</v>
      </c>
      <c r="D27" s="115">
        <v>0</v>
      </c>
      <c r="E27" s="121">
        <v>0</v>
      </c>
      <c r="F27" s="115">
        <v>34</v>
      </c>
      <c r="G27" s="121">
        <v>1700</v>
      </c>
      <c r="H27" s="122" t="s">
        <v>1043</v>
      </c>
      <c r="I27" s="122">
        <v>247.18</v>
      </c>
      <c r="J27" s="33"/>
      <c r="K27" s="262"/>
    </row>
    <row r="28" spans="1:11" ht="12.75" customHeight="1">
      <c r="A28" s="119" t="s">
        <v>872</v>
      </c>
      <c r="B28" s="355"/>
      <c r="C28" s="349">
        <v>0</v>
      </c>
      <c r="D28" s="115">
        <v>15</v>
      </c>
      <c r="E28" s="121">
        <v>748.4</v>
      </c>
      <c r="F28" s="115">
        <v>15</v>
      </c>
      <c r="G28" s="121">
        <v>748.4</v>
      </c>
      <c r="H28" s="122" t="s">
        <v>1044</v>
      </c>
      <c r="I28" s="122">
        <v>163.33</v>
      </c>
      <c r="J28" s="33"/>
      <c r="K28" s="262"/>
    </row>
    <row r="29" spans="1:11" ht="12.75" customHeight="1">
      <c r="A29" s="119" t="s">
        <v>329</v>
      </c>
      <c r="B29" s="355"/>
      <c r="C29" s="349">
        <v>0</v>
      </c>
      <c r="D29" s="115">
        <v>15</v>
      </c>
      <c r="E29" s="121">
        <v>748.4</v>
      </c>
      <c r="F29" s="115">
        <v>15</v>
      </c>
      <c r="G29" s="121">
        <v>748.4</v>
      </c>
      <c r="H29" s="122" t="s">
        <v>1045</v>
      </c>
      <c r="I29" s="122">
        <v>141.33</v>
      </c>
      <c r="J29" s="33"/>
      <c r="K29" s="262"/>
    </row>
    <row r="30" spans="1:11" ht="12.75" customHeight="1">
      <c r="A30" s="119" t="s">
        <v>67</v>
      </c>
      <c r="B30" s="115">
        <v>65</v>
      </c>
      <c r="C30" s="349">
        <v>3244</v>
      </c>
      <c r="D30" s="115">
        <v>75</v>
      </c>
      <c r="E30" s="121">
        <v>3743.9</v>
      </c>
      <c r="F30" s="115">
        <v>140</v>
      </c>
      <c r="G30" s="121">
        <v>6987.9</v>
      </c>
      <c r="H30" s="122" t="s">
        <v>1046</v>
      </c>
      <c r="I30" s="122">
        <v>178.64</v>
      </c>
      <c r="J30" s="33"/>
      <c r="K30" s="262"/>
    </row>
    <row r="31" spans="1:11" ht="12.75" customHeight="1">
      <c r="A31" s="119" t="s">
        <v>71</v>
      </c>
      <c r="B31" s="115">
        <v>1475</v>
      </c>
      <c r="C31" s="349">
        <v>73601</v>
      </c>
      <c r="D31" s="115">
        <v>185</v>
      </c>
      <c r="E31" s="121">
        <v>9234.9</v>
      </c>
      <c r="F31" s="115">
        <v>1660</v>
      </c>
      <c r="G31" s="121">
        <v>82835.9</v>
      </c>
      <c r="H31" s="122" t="s">
        <v>1047</v>
      </c>
      <c r="I31" s="122">
        <v>145.05</v>
      </c>
      <c r="J31" s="33"/>
      <c r="K31" s="262"/>
    </row>
    <row r="32" spans="1:11" ht="12.75" customHeight="1">
      <c r="A32" s="119" t="s">
        <v>648</v>
      </c>
      <c r="B32" s="115">
        <v>100</v>
      </c>
      <c r="C32" s="349">
        <v>4983.5</v>
      </c>
      <c r="D32" s="115">
        <v>0</v>
      </c>
      <c r="E32" s="121">
        <v>0</v>
      </c>
      <c r="F32" s="115">
        <v>100</v>
      </c>
      <c r="G32" s="121">
        <v>4983.5</v>
      </c>
      <c r="H32" s="122" t="s">
        <v>1048</v>
      </c>
      <c r="I32" s="122">
        <v>99.13</v>
      </c>
      <c r="J32" s="33"/>
      <c r="K32" s="262"/>
    </row>
    <row r="33" spans="1:11" ht="12.75" customHeight="1">
      <c r="A33" s="119" t="s">
        <v>1019</v>
      </c>
      <c r="B33" s="115">
        <v>20</v>
      </c>
      <c r="C33" s="349">
        <v>994</v>
      </c>
      <c r="D33" s="115">
        <v>10</v>
      </c>
      <c r="E33" s="121">
        <v>498.4</v>
      </c>
      <c r="F33" s="115">
        <v>30</v>
      </c>
      <c r="G33" s="121">
        <v>1492.4</v>
      </c>
      <c r="H33" s="122" t="s">
        <v>1049</v>
      </c>
      <c r="I33" s="122">
        <v>126.97</v>
      </c>
      <c r="J33" s="33"/>
      <c r="K33" s="262"/>
    </row>
    <row r="34" spans="1:11" ht="12.75" customHeight="1">
      <c r="A34" s="119" t="s">
        <v>73</v>
      </c>
      <c r="B34" s="115">
        <f>90+10</f>
        <v>100</v>
      </c>
      <c r="C34" s="349">
        <f>4492.5+498.5</f>
        <v>4991</v>
      </c>
      <c r="D34" s="115">
        <v>0</v>
      </c>
      <c r="E34" s="121">
        <v>0</v>
      </c>
      <c r="F34" s="115">
        <f>90+10</f>
        <v>100</v>
      </c>
      <c r="G34" s="121">
        <f>4492.5+498.5</f>
        <v>4991</v>
      </c>
      <c r="H34" s="122">
        <f>546537+80757</f>
        <v>627294</v>
      </c>
      <c r="I34" s="122">
        <f>H34/G34</f>
        <v>125.68503305950712</v>
      </c>
      <c r="J34" s="33"/>
      <c r="K34" s="262"/>
    </row>
    <row r="35" spans="1:11" ht="12.75" customHeight="1">
      <c r="A35" s="119" t="s">
        <v>75</v>
      </c>
      <c r="B35" s="115">
        <v>60</v>
      </c>
      <c r="C35" s="349">
        <f>1495.5+1494</f>
        <v>2989.5</v>
      </c>
      <c r="D35" s="115">
        <v>10</v>
      </c>
      <c r="E35" s="121">
        <v>499.2</v>
      </c>
      <c r="F35" s="115">
        <f>30+40</f>
        <v>70</v>
      </c>
      <c r="G35" s="121">
        <f>1495.5+1993.2</f>
        <v>3488.7</v>
      </c>
      <c r="H35" s="122">
        <f>208871.5+223784.8</f>
        <v>432656.3</v>
      </c>
      <c r="I35" s="122">
        <f>H35/G35</f>
        <v>124.01648178404564</v>
      </c>
      <c r="J35" s="33"/>
      <c r="K35" s="262"/>
    </row>
    <row r="36" spans="1:11" ht="12.75" customHeight="1">
      <c r="A36" s="119" t="s">
        <v>77</v>
      </c>
      <c r="B36" s="115">
        <v>60</v>
      </c>
      <c r="C36" s="349">
        <v>2991</v>
      </c>
      <c r="D36" s="115">
        <v>35</v>
      </c>
      <c r="E36" s="121">
        <v>1747.1</v>
      </c>
      <c r="F36" s="115">
        <v>95</v>
      </c>
      <c r="G36" s="121">
        <v>4738.1</v>
      </c>
      <c r="H36" s="122" t="s">
        <v>1050</v>
      </c>
      <c r="I36" s="122">
        <v>140.97</v>
      </c>
      <c r="J36" s="33"/>
      <c r="K36" s="262"/>
    </row>
    <row r="37" spans="1:11" ht="12.75" customHeight="1">
      <c r="A37" s="119" t="s">
        <v>445</v>
      </c>
      <c r="B37" s="115">
        <v>40</v>
      </c>
      <c r="C37" s="349">
        <v>1989.5</v>
      </c>
      <c r="D37" s="115">
        <v>0</v>
      </c>
      <c r="E37" s="121">
        <v>0</v>
      </c>
      <c r="F37" s="115">
        <v>40</v>
      </c>
      <c r="G37" s="121">
        <v>1989.5</v>
      </c>
      <c r="H37" s="122" t="s">
        <v>1051</v>
      </c>
      <c r="I37" s="122">
        <v>134.73</v>
      </c>
      <c r="J37" s="33"/>
      <c r="K37" s="262"/>
    </row>
    <row r="38" spans="1:11" ht="12.75" customHeight="1">
      <c r="A38" s="119" t="s">
        <v>221</v>
      </c>
      <c r="B38" s="115">
        <v>60</v>
      </c>
      <c r="C38" s="349">
        <v>2991</v>
      </c>
      <c r="D38" s="115">
        <v>140</v>
      </c>
      <c r="E38" s="121">
        <v>6984.5</v>
      </c>
      <c r="F38" s="115">
        <v>200</v>
      </c>
      <c r="G38" s="121">
        <v>9975.5</v>
      </c>
      <c r="H38" s="122" t="s">
        <v>1052</v>
      </c>
      <c r="I38" s="122">
        <v>134.5</v>
      </c>
      <c r="J38" s="33"/>
      <c r="K38" s="262"/>
    </row>
    <row r="39" spans="1:11" ht="12.75" customHeight="1">
      <c r="A39" s="119" t="s">
        <v>81</v>
      </c>
      <c r="B39" s="115">
        <v>82</v>
      </c>
      <c r="C39" s="349">
        <v>4095.5</v>
      </c>
      <c r="D39" s="115">
        <v>0</v>
      </c>
      <c r="E39" s="121">
        <v>0</v>
      </c>
      <c r="F39" s="115">
        <v>82</v>
      </c>
      <c r="G39" s="121">
        <v>4095.5</v>
      </c>
      <c r="H39" s="122" t="s">
        <v>1053</v>
      </c>
      <c r="I39" s="122">
        <v>167.39</v>
      </c>
      <c r="J39" s="33"/>
      <c r="K39" s="262"/>
    </row>
    <row r="40" spans="1:11" ht="12.75" customHeight="1">
      <c r="A40" s="119" t="s">
        <v>83</v>
      </c>
      <c r="B40" s="115">
        <v>300</v>
      </c>
      <c r="C40" s="349">
        <v>14965.5</v>
      </c>
      <c r="D40" s="115">
        <v>10</v>
      </c>
      <c r="E40" s="121">
        <v>499.2</v>
      </c>
      <c r="F40" s="115">
        <v>310</v>
      </c>
      <c r="G40" s="121">
        <v>15464.7</v>
      </c>
      <c r="H40" s="122" t="s">
        <v>1054</v>
      </c>
      <c r="I40" s="122">
        <v>153.75</v>
      </c>
      <c r="J40" s="33"/>
      <c r="K40" s="262"/>
    </row>
    <row r="41" spans="1:11" ht="12.75" customHeight="1">
      <c r="A41" s="119" t="s">
        <v>342</v>
      </c>
      <c r="B41" s="355"/>
      <c r="C41" s="349">
        <v>0</v>
      </c>
      <c r="D41" s="115">
        <v>25</v>
      </c>
      <c r="E41" s="121">
        <v>1247.4</v>
      </c>
      <c r="F41" s="115">
        <v>25</v>
      </c>
      <c r="G41" s="121">
        <v>1247.4</v>
      </c>
      <c r="H41" s="122" t="s">
        <v>1055</v>
      </c>
      <c r="I41" s="122">
        <v>106.01</v>
      </c>
      <c r="J41" s="33"/>
      <c r="K41" s="262"/>
    </row>
    <row r="42" spans="1:11" ht="12.75" customHeight="1">
      <c r="A42" s="119" t="s">
        <v>150</v>
      </c>
      <c r="B42" s="115">
        <v>5</v>
      </c>
      <c r="C42" s="349">
        <v>250</v>
      </c>
      <c r="D42" s="115">
        <v>20</v>
      </c>
      <c r="E42" s="121">
        <v>997.6</v>
      </c>
      <c r="F42" s="115">
        <v>25</v>
      </c>
      <c r="G42" s="121">
        <v>1247.6</v>
      </c>
      <c r="H42" s="122" t="s">
        <v>1056</v>
      </c>
      <c r="I42" s="122">
        <v>169.41</v>
      </c>
      <c r="J42" s="33"/>
      <c r="K42" s="262"/>
    </row>
    <row r="43" spans="1:11" ht="12.75" customHeight="1">
      <c r="A43" s="119" t="s">
        <v>226</v>
      </c>
      <c r="B43" s="355"/>
      <c r="C43" s="349">
        <v>0</v>
      </c>
      <c r="D43" s="115">
        <v>50</v>
      </c>
      <c r="E43" s="121">
        <v>2495.2</v>
      </c>
      <c r="F43" s="115">
        <v>50</v>
      </c>
      <c r="G43" s="121">
        <v>2495.2</v>
      </c>
      <c r="H43" s="122" t="s">
        <v>1057</v>
      </c>
      <c r="I43" s="122">
        <v>152.09</v>
      </c>
      <c r="J43" s="33"/>
      <c r="K43" s="262"/>
    </row>
    <row r="44" spans="1:11" ht="12.75" customHeight="1">
      <c r="A44" s="119" t="s">
        <v>347</v>
      </c>
      <c r="B44" s="355"/>
      <c r="C44" s="349">
        <v>0</v>
      </c>
      <c r="D44" s="115">
        <v>110</v>
      </c>
      <c r="E44" s="121">
        <v>5490.4</v>
      </c>
      <c r="F44" s="115">
        <v>110</v>
      </c>
      <c r="G44" s="121">
        <v>5490.4</v>
      </c>
      <c r="H44" s="122" t="s">
        <v>1058</v>
      </c>
      <c r="I44" s="122">
        <v>180.96</v>
      </c>
      <c r="J44" s="33"/>
      <c r="K44" s="262"/>
    </row>
    <row r="45" spans="1:11" ht="12.75" customHeight="1">
      <c r="A45" s="119" t="s">
        <v>92</v>
      </c>
      <c r="B45" s="115">
        <v>65</v>
      </c>
      <c r="C45" s="349">
        <v>3242.5</v>
      </c>
      <c r="D45" s="115">
        <v>45</v>
      </c>
      <c r="E45" s="121">
        <v>2245.8</v>
      </c>
      <c r="F45" s="115">
        <v>110</v>
      </c>
      <c r="G45" s="121">
        <v>5488.3</v>
      </c>
      <c r="H45" s="122" t="s">
        <v>1059</v>
      </c>
      <c r="I45" s="122">
        <v>128.65</v>
      </c>
      <c r="J45" s="33"/>
      <c r="K45" s="262"/>
    </row>
    <row r="46" spans="1:11" ht="12.75" customHeight="1">
      <c r="A46" s="119" t="s">
        <v>229</v>
      </c>
      <c r="B46" s="115">
        <v>20</v>
      </c>
      <c r="C46" s="349">
        <v>994</v>
      </c>
      <c r="D46" s="115">
        <v>0</v>
      </c>
      <c r="E46" s="121">
        <v>0</v>
      </c>
      <c r="F46" s="115">
        <v>20</v>
      </c>
      <c r="G46" s="121">
        <v>994</v>
      </c>
      <c r="H46" s="122" t="s">
        <v>1060</v>
      </c>
      <c r="I46" s="122">
        <v>102.01</v>
      </c>
      <c r="J46" s="33"/>
      <c r="K46" s="262"/>
    </row>
    <row r="47" spans="1:11" ht="12.75" customHeight="1">
      <c r="A47" s="119" t="s">
        <v>1061</v>
      </c>
      <c r="B47" s="115">
        <v>30</v>
      </c>
      <c r="C47" s="349">
        <v>1495.5</v>
      </c>
      <c r="D47" s="115">
        <v>0</v>
      </c>
      <c r="E47" s="121">
        <v>0</v>
      </c>
      <c r="F47" s="115">
        <v>30</v>
      </c>
      <c r="G47" s="121">
        <v>1495.5</v>
      </c>
      <c r="H47" s="122" t="s">
        <v>1062</v>
      </c>
      <c r="I47" s="122">
        <v>147</v>
      </c>
      <c r="J47" s="33"/>
      <c r="K47" s="262"/>
    </row>
    <row r="48" spans="1:11" ht="12.75" customHeight="1">
      <c r="A48" s="119" t="s">
        <v>233</v>
      </c>
      <c r="B48" s="115">
        <v>15</v>
      </c>
      <c r="C48" s="349">
        <v>750</v>
      </c>
      <c r="D48" s="115">
        <v>0</v>
      </c>
      <c r="E48" s="121">
        <v>0</v>
      </c>
      <c r="F48" s="115">
        <v>15</v>
      </c>
      <c r="G48" s="121">
        <v>750</v>
      </c>
      <c r="H48" s="122" t="s">
        <v>1063</v>
      </c>
      <c r="I48" s="122">
        <v>145</v>
      </c>
      <c r="J48" s="33"/>
      <c r="K48" s="262"/>
    </row>
    <row r="49" spans="1:11" ht="12.75" customHeight="1">
      <c r="A49" s="119" t="s">
        <v>1064</v>
      </c>
      <c r="B49" s="115">
        <v>20</v>
      </c>
      <c r="C49" s="349">
        <v>997</v>
      </c>
      <c r="D49" s="115">
        <v>0</v>
      </c>
      <c r="E49" s="121">
        <v>0</v>
      </c>
      <c r="F49" s="115">
        <v>20</v>
      </c>
      <c r="G49" s="121">
        <v>997</v>
      </c>
      <c r="H49" s="122">
        <v>97207.5</v>
      </c>
      <c r="I49" s="122">
        <v>97.5</v>
      </c>
      <c r="J49" s="33"/>
      <c r="K49" s="262"/>
    </row>
    <row r="50" spans="1:11" ht="12.75" customHeight="1">
      <c r="A50" s="119" t="s">
        <v>94</v>
      </c>
      <c r="B50" s="115">
        <v>60</v>
      </c>
      <c r="C50" s="349">
        <v>2991</v>
      </c>
      <c r="D50" s="115">
        <v>35</v>
      </c>
      <c r="E50" s="121">
        <v>1747.1</v>
      </c>
      <c r="F50" s="115">
        <v>95</v>
      </c>
      <c r="G50" s="121">
        <v>4738.1</v>
      </c>
      <c r="H50" s="122" t="s">
        <v>1065</v>
      </c>
      <c r="I50" s="122">
        <v>178.54</v>
      </c>
      <c r="J50" s="33"/>
      <c r="K50" s="262"/>
    </row>
    <row r="51" spans="1:11" ht="12.75" customHeight="1">
      <c r="A51" s="119" t="s">
        <v>190</v>
      </c>
      <c r="B51" s="115">
        <v>50</v>
      </c>
      <c r="C51" s="349">
        <v>2492.5</v>
      </c>
      <c r="D51" s="115">
        <v>10</v>
      </c>
      <c r="E51" s="121">
        <v>497.6</v>
      </c>
      <c r="F51" s="115">
        <v>60</v>
      </c>
      <c r="G51" s="121">
        <v>2990.1</v>
      </c>
      <c r="H51" s="122" t="s">
        <v>1066</v>
      </c>
      <c r="I51" s="122">
        <v>133.1</v>
      </c>
      <c r="J51" s="33"/>
      <c r="K51" s="262"/>
    </row>
    <row r="52" spans="1:11" ht="12.75" customHeight="1">
      <c r="A52" s="119" t="s">
        <v>96</v>
      </c>
      <c r="B52" s="115">
        <v>35</v>
      </c>
      <c r="C52" s="349">
        <v>1744</v>
      </c>
      <c r="D52" s="115">
        <v>0</v>
      </c>
      <c r="E52" s="121">
        <v>0</v>
      </c>
      <c r="F52" s="115">
        <v>35</v>
      </c>
      <c r="G52" s="121">
        <v>1744</v>
      </c>
      <c r="H52" s="122" t="s">
        <v>1067</v>
      </c>
      <c r="I52" s="122">
        <v>186.9</v>
      </c>
      <c r="J52" s="33"/>
      <c r="K52" s="262"/>
    </row>
    <row r="53" spans="1:11" ht="12.75" customHeight="1">
      <c r="A53" s="119" t="s">
        <v>1068</v>
      </c>
      <c r="B53" s="115">
        <v>230</v>
      </c>
      <c r="C53" s="349">
        <v>11458</v>
      </c>
      <c r="D53" s="115">
        <v>0</v>
      </c>
      <c r="E53" s="121">
        <v>0</v>
      </c>
      <c r="F53" s="115">
        <v>230</v>
      </c>
      <c r="G53" s="121">
        <v>11458</v>
      </c>
      <c r="H53" s="122" t="s">
        <v>1069</v>
      </c>
      <c r="I53" s="122">
        <v>113.41</v>
      </c>
      <c r="J53" s="33"/>
      <c r="K53" s="262"/>
    </row>
    <row r="54" spans="1:11" ht="12.75" customHeight="1">
      <c r="A54" s="119" t="s">
        <v>98</v>
      </c>
      <c r="B54" s="115">
        <v>170</v>
      </c>
      <c r="C54" s="349">
        <v>8471.5</v>
      </c>
      <c r="D54" s="115">
        <v>0</v>
      </c>
      <c r="E54" s="121">
        <v>0</v>
      </c>
      <c r="F54" s="115">
        <v>170</v>
      </c>
      <c r="G54" s="121">
        <v>8471.5</v>
      </c>
      <c r="H54" s="122">
        <v>1493847.5</v>
      </c>
      <c r="I54" s="122">
        <v>176.33801569969899</v>
      </c>
      <c r="J54" s="33"/>
      <c r="K54" s="262"/>
    </row>
    <row r="55" spans="1:11" ht="12.75" customHeight="1">
      <c r="A55" s="119" t="s">
        <v>237</v>
      </c>
      <c r="B55" s="115">
        <v>20</v>
      </c>
      <c r="C55" s="349">
        <v>1000</v>
      </c>
      <c r="D55" s="115">
        <v>10</v>
      </c>
      <c r="E55" s="121">
        <v>499.2</v>
      </c>
      <c r="F55" s="115">
        <v>30</v>
      </c>
      <c r="G55" s="121">
        <v>1499.2</v>
      </c>
      <c r="H55" s="122" t="s">
        <v>1070</v>
      </c>
      <c r="I55" s="122">
        <v>194.32</v>
      </c>
      <c r="J55" s="33"/>
      <c r="K55" s="262"/>
    </row>
    <row r="56" spans="1:11" ht="12.75" customHeight="1">
      <c r="A56" s="119" t="s">
        <v>99</v>
      </c>
      <c r="B56" s="115">
        <v>140</v>
      </c>
      <c r="C56" s="349">
        <v>6985</v>
      </c>
      <c r="D56" s="115">
        <v>40</v>
      </c>
      <c r="E56" s="121">
        <v>1996.8</v>
      </c>
      <c r="F56" s="115">
        <f>140+40</f>
        <v>180</v>
      </c>
      <c r="G56" s="121">
        <f>6985+1996.8</f>
        <v>8981.8</v>
      </c>
      <c r="H56" s="122">
        <f>845758.5+423820.8</f>
        <v>1269579.3</v>
      </c>
      <c r="I56" s="122">
        <f>H56/G56</f>
        <v>141.35020819880205</v>
      </c>
      <c r="J56" s="33"/>
      <c r="K56" s="262"/>
    </row>
    <row r="57" spans="1:11" ht="12.75" customHeight="1">
      <c r="A57" s="119" t="s">
        <v>101</v>
      </c>
      <c r="B57" s="115">
        <v>22</v>
      </c>
      <c r="C57" s="349">
        <v>1011</v>
      </c>
      <c r="D57" s="115">
        <v>0</v>
      </c>
      <c r="E57" s="121">
        <v>0</v>
      </c>
      <c r="F57" s="115">
        <v>22</v>
      </c>
      <c r="G57" s="121">
        <v>1011</v>
      </c>
      <c r="H57" s="122" t="s">
        <v>1071</v>
      </c>
      <c r="I57" s="122">
        <v>116.62</v>
      </c>
      <c r="J57" s="33"/>
      <c r="K57" s="262"/>
    </row>
    <row r="58" spans="1:11" ht="12.75" customHeight="1">
      <c r="A58" s="119" t="s">
        <v>552</v>
      </c>
      <c r="B58" s="115">
        <v>50</v>
      </c>
      <c r="C58" s="349">
        <v>2489.5</v>
      </c>
      <c r="D58" s="115">
        <v>0</v>
      </c>
      <c r="E58" s="121">
        <v>0</v>
      </c>
      <c r="F58" s="115">
        <v>50</v>
      </c>
      <c r="G58" s="121">
        <v>2489.5</v>
      </c>
      <c r="H58" s="122" t="s">
        <v>1072</v>
      </c>
      <c r="I58" s="122">
        <v>147.03</v>
      </c>
      <c r="J58" s="33"/>
      <c r="K58" s="262"/>
    </row>
    <row r="59" spans="1:11" ht="12.75" customHeight="1">
      <c r="A59" s="119" t="s">
        <v>578</v>
      </c>
      <c r="B59" s="355"/>
      <c r="C59" s="349">
        <v>0</v>
      </c>
      <c r="D59" s="115">
        <v>40</v>
      </c>
      <c r="E59" s="121">
        <v>1996.8</v>
      </c>
      <c r="F59" s="115">
        <v>40</v>
      </c>
      <c r="G59" s="121">
        <v>1996.8</v>
      </c>
      <c r="H59" s="122" t="s">
        <v>1073</v>
      </c>
      <c r="I59" s="122">
        <v>140.25</v>
      </c>
      <c r="J59" s="33"/>
      <c r="K59" s="262"/>
    </row>
    <row r="60" spans="1:11" ht="12.75" customHeight="1">
      <c r="A60" s="119" t="s">
        <v>194</v>
      </c>
      <c r="B60" s="115">
        <v>50</v>
      </c>
      <c r="C60" s="349">
        <v>2492.5</v>
      </c>
      <c r="D60" s="115">
        <v>0</v>
      </c>
      <c r="E60" s="121">
        <v>0</v>
      </c>
      <c r="F60" s="115">
        <v>50</v>
      </c>
      <c r="G60" s="121">
        <v>2492.5</v>
      </c>
      <c r="H60" s="122" t="s">
        <v>1074</v>
      </c>
      <c r="I60" s="122">
        <v>159.18</v>
      </c>
      <c r="J60" s="33"/>
      <c r="K60" s="262"/>
    </row>
    <row r="61" spans="1:11" ht="12.75" customHeight="1">
      <c r="A61" s="119" t="s">
        <v>14</v>
      </c>
      <c r="B61" s="341">
        <v>5485</v>
      </c>
      <c r="C61" s="343" t="s">
        <v>1075</v>
      </c>
      <c r="D61" s="341">
        <v>1070</v>
      </c>
      <c r="E61" s="343">
        <v>53402.2</v>
      </c>
      <c r="F61" s="341">
        <v>6555</v>
      </c>
      <c r="G61" s="343" t="s">
        <v>1076</v>
      </c>
      <c r="H61" s="122" t="s">
        <v>1077</v>
      </c>
      <c r="I61" s="122">
        <v>145.46</v>
      </c>
      <c r="J61" s="33"/>
      <c r="K61" s="262"/>
    </row>
    <row r="62" spans="1:11" ht="12.75" customHeight="1">
      <c r="A62" s="344"/>
      <c r="B62" s="345"/>
      <c r="C62" s="346"/>
      <c r="D62" s="345"/>
      <c r="E62" s="346"/>
      <c r="F62" s="345"/>
      <c r="G62" s="346"/>
      <c r="H62" s="347"/>
      <c r="I62" s="347"/>
      <c r="J62" s="33"/>
      <c r="K62" s="262"/>
    </row>
    <row r="63" spans="1:10" ht="12.75" customHeight="1">
      <c r="A63" s="344"/>
      <c r="B63" s="355"/>
      <c r="C63" s="342"/>
      <c r="D63" s="355"/>
      <c r="E63" s="117"/>
      <c r="F63" s="356"/>
      <c r="G63" s="342" t="s">
        <v>119</v>
      </c>
      <c r="H63" s="118"/>
      <c r="I63" s="118"/>
      <c r="J63" s="114"/>
    </row>
    <row r="64" spans="1:10" ht="12.75" customHeight="1">
      <c r="A64" s="344"/>
      <c r="B64" s="355"/>
      <c r="C64" s="342"/>
      <c r="D64" s="355"/>
      <c r="E64" s="114"/>
      <c r="F64" s="117"/>
      <c r="G64" s="359" t="s">
        <v>121</v>
      </c>
      <c r="H64" s="118"/>
      <c r="I64" s="118"/>
      <c r="J64" s="114"/>
    </row>
    <row r="65" spans="1:10" ht="12.75" customHeight="1">
      <c r="A65" s="329" t="s">
        <v>117</v>
      </c>
      <c r="B65" s="355"/>
      <c r="C65" s="342"/>
      <c r="D65" s="355"/>
      <c r="E65" s="117"/>
      <c r="F65" s="355"/>
      <c r="G65" s="342"/>
      <c r="H65" s="118"/>
      <c r="I65" s="118"/>
      <c r="J65" s="114"/>
    </row>
    <row r="66" spans="1:10" ht="12.75" customHeight="1">
      <c r="A66" s="329" t="s">
        <v>118</v>
      </c>
      <c r="B66" s="355"/>
      <c r="C66" s="342"/>
      <c r="D66" s="355"/>
      <c r="E66" s="117"/>
      <c r="F66" s="355"/>
      <c r="G66" s="342"/>
      <c r="H66" s="118"/>
      <c r="I66" s="118"/>
      <c r="J66" s="114"/>
    </row>
    <row r="67" spans="1:10" ht="12.75" customHeight="1">
      <c r="A67" s="329" t="s">
        <v>120</v>
      </c>
      <c r="B67" s="355"/>
      <c r="C67" s="342"/>
      <c r="D67" s="355"/>
      <c r="E67" s="117"/>
      <c r="F67" s="355"/>
      <c r="G67" s="342"/>
      <c r="H67" s="118"/>
      <c r="I67" s="118"/>
      <c r="J67" s="114"/>
    </row>
    <row r="68" spans="1:10" ht="12.75" customHeight="1">
      <c r="A68" s="329" t="s">
        <v>122</v>
      </c>
      <c r="B68" s="355"/>
      <c r="C68" s="342"/>
      <c r="D68" s="355"/>
      <c r="E68" s="117"/>
      <c r="F68" s="355"/>
      <c r="G68" s="342"/>
      <c r="H68" s="118"/>
      <c r="I68" s="118"/>
      <c r="J68" s="114"/>
    </row>
    <row r="69" spans="1:10" ht="12.75" customHeight="1">
      <c r="A69" s="329" t="s">
        <v>123</v>
      </c>
      <c r="B69" s="355"/>
      <c r="C69" s="342"/>
      <c r="D69" s="355"/>
      <c r="E69" s="117"/>
      <c r="F69" s="355"/>
      <c r="G69" s="342"/>
      <c r="H69" s="118"/>
      <c r="I69" s="118"/>
      <c r="J69" s="114"/>
    </row>
    <row r="70" spans="1:10" ht="12.75" customHeight="1">
      <c r="A70" s="114"/>
      <c r="B70" s="355"/>
      <c r="C70" s="342"/>
      <c r="D70" s="355"/>
      <c r="E70" s="117"/>
      <c r="F70" s="355"/>
      <c r="G70" s="342"/>
      <c r="H70" s="118"/>
      <c r="I70" s="118"/>
      <c r="J70" s="114"/>
    </row>
    <row r="71" spans="1:10" ht="12.75" customHeight="1">
      <c r="A71" s="114"/>
      <c r="B71" s="355"/>
      <c r="C71" s="342"/>
      <c r="D71" s="355"/>
      <c r="E71" s="117"/>
      <c r="F71" s="355"/>
      <c r="G71" s="342"/>
      <c r="H71" s="118"/>
      <c r="I71" s="118"/>
      <c r="J71" s="114"/>
    </row>
    <row r="72" spans="1:10" ht="12.75" customHeight="1">
      <c r="A72" s="114"/>
      <c r="B72" s="355"/>
      <c r="C72" s="342"/>
      <c r="D72" s="355"/>
      <c r="E72" s="117"/>
      <c r="F72" s="355"/>
      <c r="G72" s="342"/>
      <c r="H72" s="118"/>
      <c r="I72" s="118"/>
      <c r="J72" s="114"/>
    </row>
    <row r="73" spans="1:10" ht="12.75" customHeight="1">
      <c r="A73" s="114"/>
      <c r="B73" s="355"/>
      <c r="C73" s="342"/>
      <c r="D73" s="355"/>
      <c r="E73" s="117"/>
      <c r="F73" s="355"/>
      <c r="G73" s="342"/>
      <c r="H73" s="118"/>
      <c r="I73" s="118"/>
      <c r="J73" s="114"/>
    </row>
    <row r="74" spans="1:10" ht="12.75" customHeight="1">
      <c r="A74" s="114"/>
      <c r="B74" s="355"/>
      <c r="C74" s="342"/>
      <c r="D74" s="355"/>
      <c r="E74" s="117"/>
      <c r="F74" s="355"/>
      <c r="G74" s="342"/>
      <c r="H74" s="118"/>
      <c r="I74" s="118"/>
      <c r="J74" s="114"/>
    </row>
    <row r="75" spans="1:10" ht="12.75" customHeight="1">
      <c r="A75" s="114"/>
      <c r="B75" s="355"/>
      <c r="C75" s="342"/>
      <c r="D75" s="355"/>
      <c r="E75" s="117"/>
      <c r="F75" s="355"/>
      <c r="G75" s="342"/>
      <c r="H75" s="118"/>
      <c r="I75" s="118"/>
      <c r="J75" s="114"/>
    </row>
    <row r="76" ht="12.75" customHeight="1">
      <c r="A76" s="1"/>
    </row>
    <row r="77" ht="12.75" customHeight="1">
      <c r="A77" s="1"/>
    </row>
    <row r="78" ht="12.75" customHeight="1">
      <c r="A78" s="1"/>
    </row>
    <row r="79" ht="12.75" customHeight="1">
      <c r="A79" s="1"/>
    </row>
    <row r="80" ht="12.75" customHeight="1">
      <c r="A80" s="1"/>
    </row>
  </sheetData>
  <sheetProtection/>
  <printOptions/>
  <pageMargins left="0.7" right="0.7" top="0.58" bottom="0.5" header="0.3" footer="0.3"/>
  <pageSetup horizontalDpi="600" verticalDpi="600" orientation="portrait" paperSize="9" scale="85" r:id="rId1"/>
  <headerFooter>
    <oddHeader>&amp;RProduce Brokers Limited
1349/A, North Agrabad, D.T. Road Askarabad (1st floor)
Chattogram-4224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5.421875" style="378" customWidth="1"/>
    <col min="2" max="2" width="10.421875" style="31" customWidth="1"/>
    <col min="3" max="3" width="11.28125" style="360" customWidth="1"/>
    <col min="4" max="4" width="7.57421875" style="802" customWidth="1"/>
    <col min="5" max="5" width="10.28125" style="244" customWidth="1"/>
    <col min="6" max="6" width="7.421875" style="31" customWidth="1"/>
    <col min="7" max="7" width="11.28125" style="360" customWidth="1"/>
    <col min="8" max="8" width="15.57421875" style="48" customWidth="1"/>
    <col min="9" max="9" width="9.57421875" style="48" customWidth="1"/>
    <col min="10" max="14" width="8.8515625" style="378" customWidth="1"/>
    <col min="15" max="15" width="12.7109375" style="378" bestFit="1" customWidth="1"/>
    <col min="16" max="16384" width="8.8515625" style="378" customWidth="1"/>
  </cols>
  <sheetData>
    <row r="1" spans="1:10" ht="18" customHeight="1">
      <c r="A1" s="683" t="s">
        <v>1730</v>
      </c>
      <c r="B1" s="684"/>
      <c r="C1" s="685"/>
      <c r="D1" s="798"/>
      <c r="E1" s="686"/>
      <c r="F1" s="684"/>
      <c r="G1" s="685"/>
      <c r="H1" s="687"/>
      <c r="I1" s="687"/>
      <c r="J1" s="262"/>
    </row>
    <row r="2" spans="1:10" ht="18" customHeight="1">
      <c r="A2" s="683" t="s">
        <v>1731</v>
      </c>
      <c r="B2" s="684"/>
      <c r="C2" s="685"/>
      <c r="D2" s="798"/>
      <c r="E2" s="686"/>
      <c r="F2" s="684"/>
      <c r="G2" s="685"/>
      <c r="H2" s="687"/>
      <c r="I2" s="687"/>
      <c r="J2" s="262"/>
    </row>
    <row r="3" spans="1:10" ht="18" customHeight="1">
      <c r="A3" s="683" t="s">
        <v>110</v>
      </c>
      <c r="B3" s="684"/>
      <c r="C3" s="685"/>
      <c r="D3" s="798"/>
      <c r="E3" s="686"/>
      <c r="F3" s="684"/>
      <c r="G3" s="685"/>
      <c r="H3" s="687"/>
      <c r="I3" s="687"/>
      <c r="J3" s="262"/>
    </row>
    <row r="4" spans="1:10" ht="18" customHeight="1">
      <c r="A4" s="683" t="s">
        <v>5</v>
      </c>
      <c r="B4" s="684"/>
      <c r="C4" s="685"/>
      <c r="D4" s="798"/>
      <c r="E4" s="686"/>
      <c r="F4" s="684"/>
      <c r="G4" s="685"/>
      <c r="H4" s="687"/>
      <c r="I4" s="687"/>
      <c r="J4" s="262"/>
    </row>
    <row r="5" spans="1:10" ht="18" customHeight="1">
      <c r="A5" s="683" t="s">
        <v>6</v>
      </c>
      <c r="B5" s="684"/>
      <c r="C5" s="685"/>
      <c r="D5" s="798"/>
      <c r="E5" s="688"/>
      <c r="F5" s="684"/>
      <c r="G5" s="685"/>
      <c r="H5" s="687"/>
      <c r="I5" s="687"/>
      <c r="J5" s="262"/>
    </row>
    <row r="6" spans="1:10" ht="18" customHeight="1">
      <c r="A6" s="683" t="s">
        <v>111</v>
      </c>
      <c r="B6" s="684"/>
      <c r="C6" s="685"/>
      <c r="D6" s="798"/>
      <c r="E6" s="686"/>
      <c r="F6" s="684"/>
      <c r="G6" s="685"/>
      <c r="H6" s="687"/>
      <c r="I6" s="687"/>
      <c r="J6" s="262"/>
    </row>
    <row r="7" spans="1:10" ht="18" customHeight="1">
      <c r="A7" s="683" t="s">
        <v>112</v>
      </c>
      <c r="B7" s="684"/>
      <c r="C7" s="685"/>
      <c r="D7" s="798"/>
      <c r="E7" s="689" t="s">
        <v>113</v>
      </c>
      <c r="F7" s="684"/>
      <c r="G7" s="685"/>
      <c r="H7" s="687"/>
      <c r="I7" s="687"/>
      <c r="J7" s="262"/>
    </row>
    <row r="8" spans="1:10" ht="18" customHeight="1">
      <c r="A8" s="690" t="s">
        <v>1732</v>
      </c>
      <c r="B8" s="691"/>
      <c r="C8" s="692"/>
      <c r="D8" s="799"/>
      <c r="E8" s="693"/>
      <c r="F8" s="691"/>
      <c r="G8" s="692"/>
      <c r="H8" s="694"/>
      <c r="I8" s="694"/>
      <c r="J8" s="262"/>
    </row>
    <row r="9" spans="1:10" ht="18" customHeight="1">
      <c r="A9" s="262"/>
      <c r="B9" s="695" t="s">
        <v>45</v>
      </c>
      <c r="C9" s="696"/>
      <c r="D9" s="695" t="s">
        <v>46</v>
      </c>
      <c r="E9" s="696"/>
      <c r="F9" s="695"/>
      <c r="G9" s="697" t="s">
        <v>47</v>
      </c>
      <c r="H9" s="698"/>
      <c r="I9" s="698"/>
      <c r="J9" s="262"/>
    </row>
    <row r="10" spans="1:10" ht="18" customHeight="1">
      <c r="A10" s="699" t="s">
        <v>461</v>
      </c>
      <c r="B10" s="700" t="s">
        <v>49</v>
      </c>
      <c r="C10" s="701" t="s">
        <v>50</v>
      </c>
      <c r="D10" s="700" t="s">
        <v>49</v>
      </c>
      <c r="E10" s="701" t="s">
        <v>50</v>
      </c>
      <c r="F10" s="700" t="s">
        <v>49</v>
      </c>
      <c r="G10" s="701" t="s">
        <v>50</v>
      </c>
      <c r="H10" s="702" t="s">
        <v>51</v>
      </c>
      <c r="I10" s="702" t="s">
        <v>52</v>
      </c>
      <c r="J10" s="262"/>
    </row>
    <row r="11" spans="1:10" ht="18" customHeight="1">
      <c r="A11" s="706" t="s">
        <v>71</v>
      </c>
      <c r="B11" s="814">
        <v>65</v>
      </c>
      <c r="C11" s="697">
        <v>3247</v>
      </c>
      <c r="D11" s="695">
        <v>0</v>
      </c>
      <c r="E11" s="813">
        <v>0</v>
      </c>
      <c r="F11" s="814">
        <v>65</v>
      </c>
      <c r="G11" s="697">
        <v>3247</v>
      </c>
      <c r="H11" s="707" t="s">
        <v>1747</v>
      </c>
      <c r="I11" s="815">
        <v>202.77</v>
      </c>
      <c r="J11" s="262"/>
    </row>
    <row r="12" spans="1:10" ht="18" customHeight="1">
      <c r="A12" s="706" t="s">
        <v>578</v>
      </c>
      <c r="B12" s="820">
        <v>70</v>
      </c>
      <c r="C12" s="818">
        <v>3483.5</v>
      </c>
      <c r="D12" s="820">
        <v>0</v>
      </c>
      <c r="E12" s="819">
        <v>0</v>
      </c>
      <c r="F12" s="820">
        <v>70</v>
      </c>
      <c r="G12" s="819">
        <v>3483.5</v>
      </c>
      <c r="H12" s="702" t="s">
        <v>1767</v>
      </c>
      <c r="I12" s="702">
        <v>75.57</v>
      </c>
      <c r="J12" s="262"/>
    </row>
    <row r="13" spans="1:10" ht="18" customHeight="1">
      <c r="A13" s="262" t="s">
        <v>14</v>
      </c>
      <c r="B13" s="703">
        <f aca="true" t="shared" si="0" ref="B13:G13">SUM(B11:B12)</f>
        <v>135</v>
      </c>
      <c r="C13" s="704">
        <f t="shared" si="0"/>
        <v>6730.5</v>
      </c>
      <c r="D13" s="695">
        <f t="shared" si="0"/>
        <v>0</v>
      </c>
      <c r="E13" s="697">
        <f t="shared" si="0"/>
        <v>0</v>
      </c>
      <c r="F13" s="703">
        <f t="shared" si="0"/>
        <v>135</v>
      </c>
      <c r="G13" s="704">
        <f t="shared" si="0"/>
        <v>6730.5</v>
      </c>
      <c r="H13" s="816">
        <f>658389.5+263234</f>
        <v>921623.5</v>
      </c>
      <c r="I13" s="705">
        <f>H13/G13</f>
        <v>136.93239729589183</v>
      </c>
      <c r="J13" s="262"/>
    </row>
    <row r="14" spans="1:10" ht="18" customHeight="1">
      <c r="A14" s="699" t="s">
        <v>462</v>
      </c>
      <c r="B14" s="700" t="s">
        <v>49</v>
      </c>
      <c r="C14" s="701" t="s">
        <v>50</v>
      </c>
      <c r="D14" s="700" t="s">
        <v>49</v>
      </c>
      <c r="E14" s="701" t="s">
        <v>50</v>
      </c>
      <c r="F14" s="700" t="s">
        <v>49</v>
      </c>
      <c r="G14" s="701" t="s">
        <v>50</v>
      </c>
      <c r="H14" s="702" t="s">
        <v>51</v>
      </c>
      <c r="I14" s="702" t="s">
        <v>52</v>
      </c>
      <c r="J14" s="262"/>
    </row>
    <row r="15" spans="1:10" ht="18" customHeight="1">
      <c r="A15" s="706" t="s">
        <v>53</v>
      </c>
      <c r="B15" s="814">
        <v>515</v>
      </c>
      <c r="C15" s="817">
        <v>25630</v>
      </c>
      <c r="D15" s="814">
        <v>0</v>
      </c>
      <c r="E15" s="813">
        <v>0</v>
      </c>
      <c r="F15" s="814">
        <v>515</v>
      </c>
      <c r="G15" s="813">
        <v>25630</v>
      </c>
      <c r="H15" s="707" t="s">
        <v>1733</v>
      </c>
      <c r="I15" s="707">
        <v>97.88</v>
      </c>
      <c r="J15" s="262"/>
    </row>
    <row r="16" spans="1:10" ht="18" customHeight="1">
      <c r="A16" s="706" t="s">
        <v>322</v>
      </c>
      <c r="B16" s="814">
        <v>20</v>
      </c>
      <c r="C16" s="817">
        <v>992.5</v>
      </c>
      <c r="D16" s="814">
        <v>35</v>
      </c>
      <c r="E16" s="813">
        <v>1741.4</v>
      </c>
      <c r="F16" s="814">
        <v>55</v>
      </c>
      <c r="G16" s="813">
        <v>2733.9</v>
      </c>
      <c r="H16" s="707" t="s">
        <v>1734</v>
      </c>
      <c r="I16" s="707">
        <v>76.54</v>
      </c>
      <c r="J16" s="262"/>
    </row>
    <row r="17" spans="1:10" ht="18" customHeight="1">
      <c r="A17" s="706" t="s">
        <v>469</v>
      </c>
      <c r="B17" s="709"/>
      <c r="C17" s="817">
        <v>0</v>
      </c>
      <c r="D17" s="814">
        <v>50</v>
      </c>
      <c r="E17" s="813">
        <v>2493.9</v>
      </c>
      <c r="F17" s="814">
        <v>50</v>
      </c>
      <c r="G17" s="813">
        <v>2493.9</v>
      </c>
      <c r="H17" s="707" t="s">
        <v>1735</v>
      </c>
      <c r="I17" s="707">
        <v>170.43</v>
      </c>
      <c r="J17" s="262"/>
    </row>
    <row r="18" spans="1:10" ht="18" customHeight="1">
      <c r="A18" s="706" t="s">
        <v>128</v>
      </c>
      <c r="B18" s="814">
        <v>185</v>
      </c>
      <c r="C18" s="817">
        <v>9206.5</v>
      </c>
      <c r="D18" s="814">
        <v>15</v>
      </c>
      <c r="E18" s="813">
        <v>747.2</v>
      </c>
      <c r="F18" s="814">
        <v>200</v>
      </c>
      <c r="G18" s="813">
        <v>9953.7</v>
      </c>
      <c r="H18" s="707" t="s">
        <v>1736</v>
      </c>
      <c r="I18" s="707">
        <v>121.93</v>
      </c>
      <c r="J18" s="262"/>
    </row>
    <row r="19" spans="1:10" ht="18" customHeight="1">
      <c r="A19" s="706" t="s">
        <v>171</v>
      </c>
      <c r="B19" s="814">
        <v>10</v>
      </c>
      <c r="C19" s="817">
        <v>498</v>
      </c>
      <c r="D19" s="814">
        <v>210</v>
      </c>
      <c r="E19" s="813">
        <v>10466.6</v>
      </c>
      <c r="F19" s="814">
        <v>220</v>
      </c>
      <c r="G19" s="813">
        <v>10964.6</v>
      </c>
      <c r="H19" s="707" t="s">
        <v>1737</v>
      </c>
      <c r="I19" s="707">
        <v>97.64</v>
      </c>
      <c r="J19" s="262"/>
    </row>
    <row r="20" spans="1:10" ht="18" customHeight="1">
      <c r="A20" s="706" t="s">
        <v>57</v>
      </c>
      <c r="B20" s="814">
        <v>150</v>
      </c>
      <c r="C20" s="817">
        <v>7474.5</v>
      </c>
      <c r="D20" s="814">
        <v>70</v>
      </c>
      <c r="E20" s="813">
        <v>3488.8</v>
      </c>
      <c r="F20" s="814">
        <v>220</v>
      </c>
      <c r="G20" s="813">
        <v>10963.3</v>
      </c>
      <c r="H20" s="707" t="s">
        <v>1738</v>
      </c>
      <c r="I20" s="707">
        <v>96.13</v>
      </c>
      <c r="J20" s="262"/>
    </row>
    <row r="21" spans="1:10" ht="18" customHeight="1">
      <c r="A21" s="706" t="s">
        <v>205</v>
      </c>
      <c r="B21" s="814">
        <v>20</v>
      </c>
      <c r="C21" s="817">
        <v>995.5</v>
      </c>
      <c r="D21" s="814">
        <v>0</v>
      </c>
      <c r="E21" s="813">
        <v>0</v>
      </c>
      <c r="F21" s="814">
        <v>20</v>
      </c>
      <c r="G21" s="813">
        <v>995.5</v>
      </c>
      <c r="H21" s="707">
        <v>99550</v>
      </c>
      <c r="I21" s="707">
        <v>100</v>
      </c>
      <c r="J21" s="262"/>
    </row>
    <row r="22" spans="1:10" ht="18" customHeight="1">
      <c r="A22" s="706" t="s">
        <v>174</v>
      </c>
      <c r="B22" s="814">
        <v>10</v>
      </c>
      <c r="C22" s="817">
        <v>497</v>
      </c>
      <c r="D22" s="814">
        <v>0</v>
      </c>
      <c r="E22" s="813">
        <v>0</v>
      </c>
      <c r="F22" s="814">
        <v>10</v>
      </c>
      <c r="G22" s="813">
        <v>497</v>
      </c>
      <c r="H22" s="707">
        <v>52185</v>
      </c>
      <c r="I22" s="707">
        <v>105</v>
      </c>
      <c r="J22" s="262"/>
    </row>
    <row r="23" spans="1:10" ht="18" customHeight="1">
      <c r="A23" s="706" t="s">
        <v>475</v>
      </c>
      <c r="B23" s="814">
        <v>40</v>
      </c>
      <c r="C23" s="817">
        <v>1997</v>
      </c>
      <c r="D23" s="814">
        <v>0</v>
      </c>
      <c r="E23" s="813">
        <v>0</v>
      </c>
      <c r="F23" s="814">
        <v>40</v>
      </c>
      <c r="G23" s="813">
        <v>1997</v>
      </c>
      <c r="H23" s="707" t="s">
        <v>1739</v>
      </c>
      <c r="I23" s="707">
        <v>134.26</v>
      </c>
      <c r="J23" s="262"/>
    </row>
    <row r="24" spans="1:10" ht="18" customHeight="1">
      <c r="A24" s="706" t="s">
        <v>59</v>
      </c>
      <c r="B24" s="814">
        <v>290</v>
      </c>
      <c r="C24" s="817">
        <v>14426.5</v>
      </c>
      <c r="D24" s="814">
        <v>0</v>
      </c>
      <c r="E24" s="813">
        <v>0</v>
      </c>
      <c r="F24" s="814">
        <v>290</v>
      </c>
      <c r="G24" s="813">
        <v>14426.5</v>
      </c>
      <c r="H24" s="707" t="s">
        <v>1740</v>
      </c>
      <c r="I24" s="707">
        <v>107.34</v>
      </c>
      <c r="J24" s="262"/>
    </row>
    <row r="25" spans="1:10" ht="18" customHeight="1">
      <c r="A25" s="706" t="s">
        <v>61</v>
      </c>
      <c r="B25" s="814">
        <v>60</v>
      </c>
      <c r="C25" s="817">
        <v>2988</v>
      </c>
      <c r="D25" s="814">
        <v>0</v>
      </c>
      <c r="E25" s="813">
        <v>0</v>
      </c>
      <c r="F25" s="814">
        <v>60</v>
      </c>
      <c r="G25" s="813">
        <v>2988</v>
      </c>
      <c r="H25" s="707" t="s">
        <v>1741</v>
      </c>
      <c r="I25" s="707">
        <v>79.17</v>
      </c>
      <c r="J25" s="262"/>
    </row>
    <row r="26" spans="1:10" ht="18" customHeight="1">
      <c r="A26" s="706" t="s">
        <v>872</v>
      </c>
      <c r="B26" s="709"/>
      <c r="C26" s="817">
        <v>0</v>
      </c>
      <c r="D26" s="814">
        <v>100</v>
      </c>
      <c r="E26" s="813">
        <v>4981.8</v>
      </c>
      <c r="F26" s="814">
        <v>100</v>
      </c>
      <c r="G26" s="813">
        <v>4981.8</v>
      </c>
      <c r="H26" s="707" t="s">
        <v>1742</v>
      </c>
      <c r="I26" s="707">
        <v>79.6</v>
      </c>
      <c r="J26" s="262"/>
    </row>
    <row r="27" spans="1:10" ht="18" customHeight="1">
      <c r="A27" s="706" t="s">
        <v>329</v>
      </c>
      <c r="B27" s="814">
        <v>30</v>
      </c>
      <c r="C27" s="817">
        <v>1494</v>
      </c>
      <c r="D27" s="814">
        <v>0</v>
      </c>
      <c r="E27" s="813">
        <v>0</v>
      </c>
      <c r="F27" s="814">
        <v>30</v>
      </c>
      <c r="G27" s="813">
        <v>1494</v>
      </c>
      <c r="H27" s="707" t="s">
        <v>1743</v>
      </c>
      <c r="I27" s="707">
        <v>136.58</v>
      </c>
      <c r="J27" s="262"/>
    </row>
    <row r="28" spans="1:10" ht="18" customHeight="1">
      <c r="A28" s="706" t="s">
        <v>136</v>
      </c>
      <c r="B28" s="814">
        <v>10</v>
      </c>
      <c r="C28" s="817">
        <v>497</v>
      </c>
      <c r="D28" s="814">
        <v>0</v>
      </c>
      <c r="E28" s="813">
        <v>0</v>
      </c>
      <c r="F28" s="814">
        <v>10</v>
      </c>
      <c r="G28" s="813">
        <v>497</v>
      </c>
      <c r="H28" s="707" t="s">
        <v>1744</v>
      </c>
      <c r="I28" s="707">
        <v>220</v>
      </c>
      <c r="J28" s="262"/>
    </row>
    <row r="29" spans="1:10" ht="18" customHeight="1">
      <c r="A29" s="706" t="s">
        <v>67</v>
      </c>
      <c r="B29" s="814">
        <v>40</v>
      </c>
      <c r="C29" s="817">
        <v>1995.5</v>
      </c>
      <c r="D29" s="814">
        <v>90</v>
      </c>
      <c r="E29" s="813">
        <v>4488.8</v>
      </c>
      <c r="F29" s="814">
        <v>130</v>
      </c>
      <c r="G29" s="813">
        <v>6484.3</v>
      </c>
      <c r="H29" s="707" t="s">
        <v>1745</v>
      </c>
      <c r="I29" s="707">
        <v>168.87</v>
      </c>
      <c r="J29" s="262"/>
    </row>
    <row r="30" spans="1:10" ht="18" customHeight="1">
      <c r="A30" s="706" t="s">
        <v>69</v>
      </c>
      <c r="B30" s="814">
        <v>82</v>
      </c>
      <c r="C30" s="817">
        <v>4082</v>
      </c>
      <c r="D30" s="814">
        <v>0</v>
      </c>
      <c r="E30" s="813">
        <v>0</v>
      </c>
      <c r="F30" s="814">
        <v>82</v>
      </c>
      <c r="G30" s="813">
        <v>4082</v>
      </c>
      <c r="H30" s="707" t="s">
        <v>1746</v>
      </c>
      <c r="I30" s="707">
        <v>84.01</v>
      </c>
      <c r="J30" s="262"/>
    </row>
    <row r="31" spans="1:10" ht="18" customHeight="1">
      <c r="A31" s="706" t="s">
        <v>71</v>
      </c>
      <c r="B31" s="814">
        <v>950</v>
      </c>
      <c r="C31" s="817">
        <v>47408.5</v>
      </c>
      <c r="D31" s="814">
        <v>150</v>
      </c>
      <c r="E31" s="813">
        <v>7487.4</v>
      </c>
      <c r="F31" s="814">
        <v>1100</v>
      </c>
      <c r="G31" s="813">
        <v>54895.9</v>
      </c>
      <c r="H31" s="707" t="s">
        <v>1748</v>
      </c>
      <c r="I31" s="707">
        <v>169.88</v>
      </c>
      <c r="J31" s="262"/>
    </row>
    <row r="32" spans="1:10" ht="18" customHeight="1">
      <c r="A32" s="706" t="s">
        <v>648</v>
      </c>
      <c r="B32" s="814">
        <v>50</v>
      </c>
      <c r="C32" s="817">
        <v>2486.5</v>
      </c>
      <c r="D32" s="814">
        <v>0</v>
      </c>
      <c r="E32" s="813">
        <v>0</v>
      </c>
      <c r="F32" s="814">
        <v>50</v>
      </c>
      <c r="G32" s="813">
        <v>2486.5</v>
      </c>
      <c r="H32" s="707" t="s">
        <v>1749</v>
      </c>
      <c r="I32" s="707">
        <v>91.43</v>
      </c>
      <c r="J32" s="262"/>
    </row>
    <row r="33" spans="1:10" ht="18" customHeight="1">
      <c r="A33" s="706" t="s">
        <v>1019</v>
      </c>
      <c r="B33" s="814">
        <v>3</v>
      </c>
      <c r="C33" s="817">
        <v>149.5</v>
      </c>
      <c r="D33" s="814">
        <v>0</v>
      </c>
      <c r="E33" s="813">
        <v>0</v>
      </c>
      <c r="F33" s="814">
        <v>3</v>
      </c>
      <c r="G33" s="813">
        <v>149.5</v>
      </c>
      <c r="H33" s="707">
        <v>8970</v>
      </c>
      <c r="I33" s="707">
        <v>60</v>
      </c>
      <c r="J33" s="262"/>
    </row>
    <row r="34" spans="1:10" ht="18" customHeight="1">
      <c r="A34" s="706" t="s">
        <v>73</v>
      </c>
      <c r="B34" s="814">
        <v>180</v>
      </c>
      <c r="C34" s="817">
        <v>8971.5</v>
      </c>
      <c r="D34" s="814">
        <v>0</v>
      </c>
      <c r="E34" s="813">
        <v>0</v>
      </c>
      <c r="F34" s="814">
        <v>180</v>
      </c>
      <c r="G34" s="813">
        <v>8971.5</v>
      </c>
      <c r="H34" s="707" t="s">
        <v>1750</v>
      </c>
      <c r="I34" s="707">
        <v>92.56</v>
      </c>
      <c r="J34" s="262"/>
    </row>
    <row r="35" spans="1:10" ht="18" customHeight="1">
      <c r="A35" s="706" t="s">
        <v>75</v>
      </c>
      <c r="B35" s="814">
        <v>130</v>
      </c>
      <c r="C35" s="817">
        <v>6449</v>
      </c>
      <c r="D35" s="814">
        <v>0</v>
      </c>
      <c r="E35" s="813">
        <v>0</v>
      </c>
      <c r="F35" s="814">
        <v>130</v>
      </c>
      <c r="G35" s="813">
        <v>6449</v>
      </c>
      <c r="H35" s="707" t="s">
        <v>1751</v>
      </c>
      <c r="I35" s="707">
        <v>85.24</v>
      </c>
      <c r="J35" s="262"/>
    </row>
    <row r="36" spans="1:10" ht="18" customHeight="1">
      <c r="A36" s="706" t="s">
        <v>77</v>
      </c>
      <c r="B36" s="814">
        <v>65</v>
      </c>
      <c r="C36" s="817">
        <v>3230.5</v>
      </c>
      <c r="D36" s="814">
        <v>80</v>
      </c>
      <c r="E36" s="813">
        <v>3990.2</v>
      </c>
      <c r="F36" s="814">
        <v>145</v>
      </c>
      <c r="G36" s="813">
        <v>7220.7</v>
      </c>
      <c r="H36" s="707" t="s">
        <v>1752</v>
      </c>
      <c r="I36" s="707">
        <v>104.99</v>
      </c>
      <c r="J36" s="262"/>
    </row>
    <row r="37" spans="1:10" ht="18" customHeight="1">
      <c r="A37" s="706" t="s">
        <v>882</v>
      </c>
      <c r="B37" s="814">
        <v>60</v>
      </c>
      <c r="C37" s="817">
        <v>2991</v>
      </c>
      <c r="D37" s="814">
        <v>0</v>
      </c>
      <c r="E37" s="813">
        <v>0</v>
      </c>
      <c r="F37" s="814">
        <v>60</v>
      </c>
      <c r="G37" s="813">
        <v>2991</v>
      </c>
      <c r="H37" s="707" t="s">
        <v>1753</v>
      </c>
      <c r="I37" s="707">
        <v>87.52</v>
      </c>
      <c r="J37" s="262"/>
    </row>
    <row r="38" spans="1:10" ht="18" customHeight="1">
      <c r="A38" s="706" t="s">
        <v>146</v>
      </c>
      <c r="B38" s="814">
        <v>20</v>
      </c>
      <c r="C38" s="817">
        <v>997</v>
      </c>
      <c r="D38" s="814">
        <v>0</v>
      </c>
      <c r="E38" s="813">
        <v>0</v>
      </c>
      <c r="F38" s="814">
        <v>20</v>
      </c>
      <c r="G38" s="813">
        <v>997</v>
      </c>
      <c r="H38" s="707" t="s">
        <v>1754</v>
      </c>
      <c r="I38" s="707">
        <v>114.53</v>
      </c>
      <c r="J38" s="262"/>
    </row>
    <row r="39" spans="1:10" ht="18" customHeight="1">
      <c r="A39" s="706" t="s">
        <v>81</v>
      </c>
      <c r="B39" s="814">
        <f>40+10</f>
        <v>50</v>
      </c>
      <c r="C39" s="817">
        <f>1988+498.5</f>
        <v>2486.5</v>
      </c>
      <c r="D39" s="814">
        <v>0</v>
      </c>
      <c r="E39" s="813">
        <v>0</v>
      </c>
      <c r="F39" s="814">
        <f>40+10</f>
        <v>50</v>
      </c>
      <c r="G39" s="813">
        <f>1988+498.5</f>
        <v>2486.5</v>
      </c>
      <c r="H39" s="707">
        <f>286272+32402.5</f>
        <v>318674.5</v>
      </c>
      <c r="I39" s="707">
        <f>H39/G39</f>
        <v>128.16187412024934</v>
      </c>
      <c r="J39" s="262"/>
    </row>
    <row r="40" spans="1:10" ht="18" customHeight="1">
      <c r="A40" s="706" t="s">
        <v>83</v>
      </c>
      <c r="B40" s="814">
        <v>455</v>
      </c>
      <c r="C40" s="817">
        <v>22664</v>
      </c>
      <c r="D40" s="814">
        <v>25</v>
      </c>
      <c r="E40" s="813">
        <v>1243.8</v>
      </c>
      <c r="F40" s="814">
        <v>480</v>
      </c>
      <c r="G40" s="813">
        <v>23907.8</v>
      </c>
      <c r="H40" s="707" t="s">
        <v>1755</v>
      </c>
      <c r="I40" s="707">
        <v>100.56</v>
      </c>
      <c r="J40" s="262"/>
    </row>
    <row r="41" spans="1:10" ht="18" customHeight="1">
      <c r="A41" s="706" t="s">
        <v>85</v>
      </c>
      <c r="B41" s="814">
        <v>232</v>
      </c>
      <c r="C41" s="817">
        <v>11565.5</v>
      </c>
      <c r="D41" s="814">
        <v>0</v>
      </c>
      <c r="E41" s="813">
        <v>0</v>
      </c>
      <c r="F41" s="814">
        <v>232</v>
      </c>
      <c r="G41" s="813">
        <v>11565.5</v>
      </c>
      <c r="H41" s="707" t="s">
        <v>1756</v>
      </c>
      <c r="I41" s="707">
        <v>86.98</v>
      </c>
      <c r="J41" s="262"/>
    </row>
    <row r="42" spans="1:10" ht="18" customHeight="1">
      <c r="A42" s="706" t="s">
        <v>1757</v>
      </c>
      <c r="B42" s="814">
        <v>20</v>
      </c>
      <c r="C42" s="817">
        <v>997</v>
      </c>
      <c r="D42" s="814">
        <v>0</v>
      </c>
      <c r="E42" s="813">
        <v>0</v>
      </c>
      <c r="F42" s="814">
        <v>20</v>
      </c>
      <c r="G42" s="813">
        <v>997</v>
      </c>
      <c r="H42" s="707" t="s">
        <v>1758</v>
      </c>
      <c r="I42" s="707">
        <v>120.5</v>
      </c>
      <c r="J42" s="262"/>
    </row>
    <row r="43" spans="1:10" ht="18" customHeight="1">
      <c r="A43" s="706" t="s">
        <v>150</v>
      </c>
      <c r="B43" s="814">
        <v>40</v>
      </c>
      <c r="C43" s="817">
        <v>1989.5</v>
      </c>
      <c r="D43" s="814">
        <v>20</v>
      </c>
      <c r="E43" s="813">
        <v>995.9</v>
      </c>
      <c r="F43" s="814">
        <v>60</v>
      </c>
      <c r="G43" s="813">
        <v>2985.4</v>
      </c>
      <c r="H43" s="707" t="s">
        <v>1759</v>
      </c>
      <c r="I43" s="707">
        <v>111.95</v>
      </c>
      <c r="J43" s="262"/>
    </row>
    <row r="44" spans="1:10" ht="18" customHeight="1">
      <c r="A44" s="706" t="s">
        <v>226</v>
      </c>
      <c r="B44" s="709"/>
      <c r="C44" s="817">
        <v>0</v>
      </c>
      <c r="D44" s="814">
        <v>10</v>
      </c>
      <c r="E44" s="813">
        <v>499.2</v>
      </c>
      <c r="F44" s="814">
        <v>10</v>
      </c>
      <c r="G44" s="813">
        <v>499.2</v>
      </c>
      <c r="H44" s="707">
        <v>64896</v>
      </c>
      <c r="I44" s="707">
        <v>130</v>
      </c>
      <c r="J44" s="262"/>
    </row>
    <row r="45" spans="1:10" ht="18" customHeight="1">
      <c r="A45" s="706" t="s">
        <v>92</v>
      </c>
      <c r="B45" s="814">
        <v>90</v>
      </c>
      <c r="C45" s="817">
        <v>4486.5</v>
      </c>
      <c r="D45" s="814">
        <v>0</v>
      </c>
      <c r="E45" s="813">
        <v>0</v>
      </c>
      <c r="F45" s="814">
        <v>90</v>
      </c>
      <c r="G45" s="813">
        <v>4486.5</v>
      </c>
      <c r="H45" s="707" t="s">
        <v>1760</v>
      </c>
      <c r="I45" s="707">
        <v>102.87</v>
      </c>
      <c r="J45" s="262"/>
    </row>
    <row r="46" spans="1:10" ht="18" customHeight="1">
      <c r="A46" s="706" t="s">
        <v>229</v>
      </c>
      <c r="B46" s="814">
        <f>210+225</f>
        <v>435</v>
      </c>
      <c r="C46" s="817">
        <f>10441.5+11207.5</f>
        <v>21649</v>
      </c>
      <c r="D46" s="814">
        <v>0</v>
      </c>
      <c r="E46" s="813">
        <v>0</v>
      </c>
      <c r="F46" s="814">
        <f>210+225</f>
        <v>435</v>
      </c>
      <c r="G46" s="813">
        <f>10441.5+11207.5</f>
        <v>21649</v>
      </c>
      <c r="H46" s="707">
        <f>841226+775253.5</f>
        <v>1616479.5</v>
      </c>
      <c r="I46" s="707">
        <f>H46/G46</f>
        <v>74.66762898979168</v>
      </c>
      <c r="J46" s="262"/>
    </row>
    <row r="47" spans="1:10" ht="18" customHeight="1">
      <c r="A47" s="706" t="s">
        <v>187</v>
      </c>
      <c r="B47" s="814">
        <f>80+70</f>
        <v>150</v>
      </c>
      <c r="C47" s="817">
        <f>3977.5+3488</f>
        <v>7465.5</v>
      </c>
      <c r="D47" s="814">
        <v>0</v>
      </c>
      <c r="E47" s="813">
        <v>0</v>
      </c>
      <c r="F47" s="814">
        <f>80+70</f>
        <v>150</v>
      </c>
      <c r="G47" s="813">
        <f>3977.5+3488</f>
        <v>7465.5</v>
      </c>
      <c r="H47" s="707">
        <f>268012+268555</f>
        <v>536567</v>
      </c>
      <c r="I47" s="707">
        <f>H47/G47</f>
        <v>71.87288192351484</v>
      </c>
      <c r="J47" s="262"/>
    </row>
    <row r="48" spans="1:10" ht="18" customHeight="1">
      <c r="A48" s="706" t="s">
        <v>233</v>
      </c>
      <c r="B48" s="814">
        <v>10</v>
      </c>
      <c r="C48" s="817">
        <v>498.5</v>
      </c>
      <c r="D48" s="814">
        <v>10</v>
      </c>
      <c r="E48" s="813">
        <v>497.7</v>
      </c>
      <c r="F48" s="814">
        <v>20</v>
      </c>
      <c r="G48" s="813">
        <v>996.2</v>
      </c>
      <c r="H48" s="707">
        <v>97629.2</v>
      </c>
      <c r="I48" s="707">
        <v>98</v>
      </c>
      <c r="J48" s="262"/>
    </row>
    <row r="49" spans="1:10" ht="18" customHeight="1">
      <c r="A49" s="706" t="s">
        <v>94</v>
      </c>
      <c r="B49" s="814">
        <v>80</v>
      </c>
      <c r="C49" s="817">
        <v>3974</v>
      </c>
      <c r="D49" s="814">
        <v>47</v>
      </c>
      <c r="E49" s="813">
        <v>2344.1</v>
      </c>
      <c r="F49" s="814">
        <v>127</v>
      </c>
      <c r="G49" s="813">
        <v>6318.1</v>
      </c>
      <c r="H49" s="707" t="s">
        <v>1761</v>
      </c>
      <c r="I49" s="707">
        <v>138.6</v>
      </c>
      <c r="J49" s="262"/>
    </row>
    <row r="50" spans="1:10" ht="18" customHeight="1">
      <c r="A50" s="706" t="s">
        <v>190</v>
      </c>
      <c r="B50" s="814">
        <v>50</v>
      </c>
      <c r="C50" s="817">
        <v>2492.5</v>
      </c>
      <c r="D50" s="814">
        <v>0</v>
      </c>
      <c r="E50" s="813">
        <v>0</v>
      </c>
      <c r="F50" s="814">
        <v>50</v>
      </c>
      <c r="G50" s="813">
        <v>2492.5</v>
      </c>
      <c r="H50" s="707" t="s">
        <v>1762</v>
      </c>
      <c r="I50" s="707">
        <v>106.2</v>
      </c>
      <c r="J50" s="262"/>
    </row>
    <row r="51" spans="1:10" ht="18" customHeight="1">
      <c r="A51" s="706" t="s">
        <v>266</v>
      </c>
      <c r="B51" s="709"/>
      <c r="C51" s="817">
        <v>0</v>
      </c>
      <c r="D51" s="814">
        <v>205</v>
      </c>
      <c r="E51" s="813">
        <v>10218</v>
      </c>
      <c r="F51" s="814">
        <v>205</v>
      </c>
      <c r="G51" s="813">
        <v>10218</v>
      </c>
      <c r="H51" s="707" t="s">
        <v>1763</v>
      </c>
      <c r="I51" s="707">
        <v>83.91</v>
      </c>
      <c r="J51" s="262"/>
    </row>
    <row r="52" spans="1:10" ht="18" customHeight="1">
      <c r="A52" s="706" t="s">
        <v>96</v>
      </c>
      <c r="B52" s="814">
        <v>60</v>
      </c>
      <c r="C52" s="817">
        <v>2983.5</v>
      </c>
      <c r="D52" s="814">
        <v>0</v>
      </c>
      <c r="E52" s="813">
        <v>0</v>
      </c>
      <c r="F52" s="814">
        <v>60</v>
      </c>
      <c r="G52" s="813">
        <v>2983.5</v>
      </c>
      <c r="H52" s="707" t="s">
        <v>1764</v>
      </c>
      <c r="I52" s="707">
        <v>113.51</v>
      </c>
      <c r="J52" s="262"/>
    </row>
    <row r="53" spans="1:10" ht="18" customHeight="1">
      <c r="A53" s="706" t="s">
        <v>98</v>
      </c>
      <c r="B53" s="814">
        <f>1+10</f>
        <v>11</v>
      </c>
      <c r="C53" s="817">
        <f>20.5+498.5</f>
        <v>519</v>
      </c>
      <c r="D53" s="814">
        <v>0</v>
      </c>
      <c r="E53" s="813">
        <v>0</v>
      </c>
      <c r="F53" s="814">
        <f>1+10</f>
        <v>11</v>
      </c>
      <c r="G53" s="813">
        <f>20.5+498.5</f>
        <v>519</v>
      </c>
      <c r="H53" s="707">
        <f>1230+45862</f>
        <v>47092</v>
      </c>
      <c r="I53" s="707">
        <f>H53/G53</f>
        <v>90.73603082851638</v>
      </c>
      <c r="J53" s="262"/>
    </row>
    <row r="54" spans="1:10" ht="18" customHeight="1">
      <c r="A54" s="706" t="s">
        <v>99</v>
      </c>
      <c r="B54" s="709"/>
      <c r="C54" s="817">
        <v>0</v>
      </c>
      <c r="D54" s="814">
        <v>30</v>
      </c>
      <c r="E54" s="813">
        <v>1495</v>
      </c>
      <c r="F54" s="814">
        <v>30</v>
      </c>
      <c r="G54" s="813">
        <v>1495</v>
      </c>
      <c r="H54" s="707" t="s">
        <v>1765</v>
      </c>
      <c r="I54" s="707">
        <v>86.67</v>
      </c>
      <c r="J54" s="262"/>
    </row>
    <row r="55" spans="1:10" ht="18" customHeight="1">
      <c r="A55" s="706" t="s">
        <v>1766</v>
      </c>
      <c r="B55" s="814">
        <v>20</v>
      </c>
      <c r="C55" s="817">
        <v>997</v>
      </c>
      <c r="D55" s="814">
        <v>0</v>
      </c>
      <c r="E55" s="813">
        <v>0</v>
      </c>
      <c r="F55" s="814">
        <v>20</v>
      </c>
      <c r="G55" s="813">
        <v>997</v>
      </c>
      <c r="H55" s="707">
        <v>96700</v>
      </c>
      <c r="I55" s="707">
        <v>96.99</v>
      </c>
      <c r="J55" s="262"/>
    </row>
    <row r="56" spans="1:10" ht="18" customHeight="1">
      <c r="A56" s="706" t="s">
        <v>578</v>
      </c>
      <c r="B56" s="709"/>
      <c r="C56" s="817">
        <v>0</v>
      </c>
      <c r="D56" s="814">
        <v>20</v>
      </c>
      <c r="E56" s="813">
        <v>998.4</v>
      </c>
      <c r="F56" s="814">
        <v>20</v>
      </c>
      <c r="G56" s="813">
        <v>998.4</v>
      </c>
      <c r="H56" s="707">
        <v>87360</v>
      </c>
      <c r="I56" s="707">
        <v>87.5</v>
      </c>
      <c r="J56" s="262"/>
    </row>
    <row r="57" spans="1:10" ht="18" customHeight="1">
      <c r="A57" s="706" t="s">
        <v>1112</v>
      </c>
      <c r="B57" s="814">
        <v>10</v>
      </c>
      <c r="C57" s="817">
        <v>500</v>
      </c>
      <c r="D57" s="814">
        <v>0</v>
      </c>
      <c r="E57" s="813">
        <v>0</v>
      </c>
      <c r="F57" s="814">
        <v>10</v>
      </c>
      <c r="G57" s="813">
        <v>500</v>
      </c>
      <c r="H57" s="707">
        <v>60000</v>
      </c>
      <c r="I57" s="707">
        <v>120</v>
      </c>
      <c r="J57" s="262"/>
    </row>
    <row r="58" spans="1:10" ht="18" customHeight="1">
      <c r="A58" s="706" t="s">
        <v>14</v>
      </c>
      <c r="B58" s="814">
        <f>B59-B13</f>
        <v>4633</v>
      </c>
      <c r="C58" s="813">
        <f>237456-C13</f>
        <v>230725.5</v>
      </c>
      <c r="D58" s="814">
        <f>D59-D13</f>
        <v>1167</v>
      </c>
      <c r="E58" s="813">
        <f>E59-E13</f>
        <v>58178.2</v>
      </c>
      <c r="F58" s="814">
        <f>5935-F13</f>
        <v>5800</v>
      </c>
      <c r="G58" s="813">
        <f>295634.2-G13</f>
        <v>288903.7</v>
      </c>
      <c r="H58" s="815">
        <f>33548992.9-H13</f>
        <v>32627369.4</v>
      </c>
      <c r="I58" s="815">
        <f>H58/G58</f>
        <v>112.93510398101512</v>
      </c>
      <c r="J58" s="262"/>
    </row>
    <row r="59" spans="1:10" ht="18" customHeight="1">
      <c r="A59" s="706" t="s">
        <v>17</v>
      </c>
      <c r="B59" s="814">
        <v>4768</v>
      </c>
      <c r="C59" s="817" t="s">
        <v>1768</v>
      </c>
      <c r="D59" s="814">
        <v>1167</v>
      </c>
      <c r="E59" s="813">
        <v>58178.2</v>
      </c>
      <c r="F59" s="814">
        <v>5935</v>
      </c>
      <c r="G59" s="813" t="s">
        <v>1769</v>
      </c>
      <c r="H59" s="707" t="s">
        <v>1770</v>
      </c>
      <c r="I59" s="707">
        <v>113.48</v>
      </c>
      <c r="J59" s="262"/>
    </row>
    <row r="60" spans="1:9" ht="18" customHeight="1">
      <c r="A60" s="699"/>
      <c r="B60" s="709"/>
      <c r="C60" s="696"/>
      <c r="D60" s="708"/>
      <c r="E60" s="710"/>
      <c r="F60" s="709"/>
      <c r="G60" s="696"/>
      <c r="H60" s="698"/>
      <c r="I60" s="698" t="s">
        <v>119</v>
      </c>
    </row>
    <row r="61" spans="1:9" ht="18" customHeight="1">
      <c r="A61" s="699"/>
      <c r="B61" s="709"/>
      <c r="C61" s="696"/>
      <c r="D61" s="708"/>
      <c r="E61" s="710"/>
      <c r="F61" s="709"/>
      <c r="G61" s="696"/>
      <c r="H61" s="698"/>
      <c r="I61" s="713" t="s">
        <v>121</v>
      </c>
    </row>
    <row r="62" spans="1:9" ht="18" customHeight="1">
      <c r="A62" s="683" t="s">
        <v>117</v>
      </c>
      <c r="B62" s="709"/>
      <c r="C62" s="696"/>
      <c r="D62" s="708"/>
      <c r="E62" s="710"/>
      <c r="F62" s="709"/>
      <c r="G62" s="696"/>
      <c r="H62" s="698"/>
      <c r="I62" s="698"/>
    </row>
    <row r="63" spans="1:9" ht="18" customHeight="1">
      <c r="A63" s="683" t="s">
        <v>118</v>
      </c>
      <c r="B63" s="709"/>
      <c r="C63" s="696"/>
      <c r="D63" s="708"/>
      <c r="E63" s="710"/>
      <c r="F63" s="709"/>
      <c r="G63" s="696"/>
      <c r="H63" s="698"/>
      <c r="I63" s="698"/>
    </row>
    <row r="64" spans="1:9" ht="18" customHeight="1">
      <c r="A64" s="683" t="s">
        <v>120</v>
      </c>
      <c r="B64" s="709"/>
      <c r="C64" s="696"/>
      <c r="D64" s="708"/>
      <c r="E64" s="710"/>
      <c r="F64" s="709"/>
      <c r="G64" s="696"/>
      <c r="H64" s="698"/>
      <c r="I64" s="698"/>
    </row>
    <row r="65" spans="1:9" ht="18" customHeight="1">
      <c r="A65" s="683" t="s">
        <v>122</v>
      </c>
      <c r="B65" s="709"/>
      <c r="C65" s="696"/>
      <c r="D65" s="708"/>
      <c r="E65" s="710"/>
      <c r="F65" s="709"/>
      <c r="G65" s="696"/>
      <c r="H65" s="698"/>
      <c r="I65" s="698"/>
    </row>
    <row r="66" spans="1:9" ht="18" customHeight="1">
      <c r="A66" s="683" t="s">
        <v>123</v>
      </c>
      <c r="B66" s="709"/>
      <c r="C66" s="696"/>
      <c r="D66" s="708"/>
      <c r="E66" s="710"/>
      <c r="F66" s="709"/>
      <c r="G66" s="696"/>
      <c r="H66" s="698"/>
      <c r="I66" s="698"/>
    </row>
    <row r="67" spans="1:9" ht="18" customHeight="1">
      <c r="A67" s="274"/>
      <c r="B67" s="289"/>
      <c r="C67" s="276"/>
      <c r="D67" s="285"/>
      <c r="E67" s="290"/>
      <c r="F67" s="289"/>
      <c r="G67" s="276"/>
      <c r="H67" s="278"/>
      <c r="I67" s="278"/>
    </row>
    <row r="68" spans="1:9" ht="12.75" customHeight="1">
      <c r="A68" s="274"/>
      <c r="B68" s="289"/>
      <c r="C68" s="276"/>
      <c r="D68" s="285"/>
      <c r="E68" s="290"/>
      <c r="F68" s="289"/>
      <c r="G68" s="276"/>
      <c r="H68" s="278"/>
      <c r="I68" s="278"/>
    </row>
    <row r="69" spans="1:9" ht="12.75" customHeight="1">
      <c r="A69" s="509"/>
      <c r="B69" s="512"/>
      <c r="C69" s="510"/>
      <c r="D69" s="801"/>
      <c r="E69" s="513"/>
      <c r="F69" s="512"/>
      <c r="G69" s="510"/>
      <c r="H69" s="511"/>
      <c r="I69" s="511"/>
    </row>
    <row r="70" spans="1:9" ht="12.75" customHeight="1">
      <c r="A70" s="509"/>
      <c r="B70" s="512"/>
      <c r="C70" s="510"/>
      <c r="D70" s="801"/>
      <c r="E70" s="513"/>
      <c r="F70" s="512"/>
      <c r="G70" s="510"/>
      <c r="H70" s="511"/>
      <c r="I70" s="511"/>
    </row>
    <row r="71" spans="1:9" ht="12.75" customHeight="1">
      <c r="A71" s="509"/>
      <c r="B71" s="512"/>
      <c r="C71" s="510"/>
      <c r="D71" s="801"/>
      <c r="E71" s="513"/>
      <c r="F71" s="512"/>
      <c r="G71" s="510"/>
      <c r="H71" s="511"/>
      <c r="I71" s="511"/>
    </row>
    <row r="72" spans="1:9" ht="12.75" customHeight="1">
      <c r="A72" s="509"/>
      <c r="B72" s="512"/>
      <c r="C72" s="510"/>
      <c r="D72" s="801"/>
      <c r="E72" s="513"/>
      <c r="F72" s="512"/>
      <c r="G72" s="510"/>
      <c r="H72" s="511"/>
      <c r="I72" s="511"/>
    </row>
    <row r="73" spans="1:9" ht="12.75" customHeight="1">
      <c r="A73" s="509"/>
      <c r="B73" s="512"/>
      <c r="C73" s="510"/>
      <c r="D73" s="801"/>
      <c r="E73" s="513"/>
      <c r="F73" s="512"/>
      <c r="G73" s="510"/>
      <c r="H73" s="511"/>
      <c r="I73" s="511"/>
    </row>
    <row r="74" spans="1:9" ht="12.75" customHeight="1">
      <c r="A74" s="509"/>
      <c r="B74" s="512"/>
      <c r="C74" s="510"/>
      <c r="D74" s="801"/>
      <c r="E74" s="513"/>
      <c r="F74" s="512"/>
      <c r="G74" s="510"/>
      <c r="H74" s="511"/>
      <c r="I74" s="511"/>
    </row>
    <row r="75" spans="1:9" ht="12.75" customHeight="1">
      <c r="A75" s="509"/>
      <c r="B75" s="512"/>
      <c r="C75" s="510"/>
      <c r="D75" s="801"/>
      <c r="E75" s="513"/>
      <c r="F75" s="512"/>
      <c r="G75" s="510"/>
      <c r="H75" s="511"/>
      <c r="I75" s="511"/>
    </row>
    <row r="76" spans="1:9" ht="12.75" customHeight="1">
      <c r="A76" s="509"/>
      <c r="B76" s="512"/>
      <c r="C76" s="510"/>
      <c r="D76" s="801"/>
      <c r="E76" s="513"/>
      <c r="F76" s="512"/>
      <c r="G76" s="510"/>
      <c r="H76" s="511"/>
      <c r="I76" s="511"/>
    </row>
    <row r="77" spans="1:9" ht="12.75" customHeight="1">
      <c r="A77" s="509"/>
      <c r="B77" s="512"/>
      <c r="C77" s="510"/>
      <c r="D77" s="801"/>
      <c r="E77" s="513"/>
      <c r="F77" s="512"/>
      <c r="G77" s="510"/>
      <c r="H77" s="511"/>
      <c r="I77" s="511"/>
    </row>
    <row r="78" spans="1:9" ht="12.75" customHeight="1">
      <c r="A78" s="509"/>
      <c r="B78" s="512"/>
      <c r="C78" s="510"/>
      <c r="D78" s="801"/>
      <c r="E78" s="513"/>
      <c r="F78" s="512"/>
      <c r="G78" s="510"/>
      <c r="H78" s="511"/>
      <c r="I78" s="511"/>
    </row>
    <row r="79" spans="1:9" ht="12.75" customHeight="1">
      <c r="A79" s="509"/>
      <c r="B79" s="512"/>
      <c r="C79" s="510"/>
      <c r="D79" s="801"/>
      <c r="E79" s="513"/>
      <c r="F79" s="512"/>
      <c r="G79" s="510"/>
      <c r="H79" s="511"/>
      <c r="I79" s="511"/>
    </row>
    <row r="80" spans="1:9" ht="12.75" customHeight="1">
      <c r="A80" s="509"/>
      <c r="B80" s="512"/>
      <c r="C80" s="510"/>
      <c r="D80" s="801"/>
      <c r="E80" s="513"/>
      <c r="F80" s="512"/>
      <c r="G80" s="510"/>
      <c r="H80" s="511"/>
      <c r="I80" s="511"/>
    </row>
    <row r="81" spans="1:9" ht="12.75" customHeight="1">
      <c r="A81" s="509"/>
      <c r="B81" s="512"/>
      <c r="C81" s="510"/>
      <c r="D81" s="801"/>
      <c r="E81" s="513"/>
      <c r="F81" s="512"/>
      <c r="G81" s="510"/>
      <c r="H81" s="511"/>
      <c r="I81" s="511"/>
    </row>
    <row r="82" spans="1:9" ht="12.75" customHeight="1">
      <c r="A82" s="509"/>
      <c r="B82" s="512"/>
      <c r="C82" s="510"/>
      <c r="D82" s="801"/>
      <c r="E82" s="513"/>
      <c r="F82" s="512"/>
      <c r="G82" s="510"/>
      <c r="H82" s="511"/>
      <c r="I82" s="511"/>
    </row>
    <row r="83" spans="1:9" ht="12.75" customHeight="1">
      <c r="A83" s="509"/>
      <c r="B83" s="512"/>
      <c r="C83" s="510"/>
      <c r="D83" s="801"/>
      <c r="E83" s="513"/>
      <c r="F83" s="512"/>
      <c r="G83" s="510"/>
      <c r="H83" s="511"/>
      <c r="I83" s="511"/>
    </row>
  </sheetData>
  <sheetProtection/>
  <printOptions/>
  <pageMargins left="0.7" right="0.29" top="1.33" bottom="0.5" header="0.3" footer="0.3"/>
  <pageSetup horizontalDpi="600" verticalDpi="600" orientation="portrait" scale="80" r:id="rId1"/>
  <headerFooter>
    <oddHeader>&amp;L&amp;D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22">
      <selection activeCell="F18" sqref="F18"/>
    </sheetView>
  </sheetViews>
  <sheetFormatPr defaultColWidth="9.140625" defaultRowHeight="14.25" customHeight="1"/>
  <cols>
    <col min="1" max="1" width="27.7109375" style="378" customWidth="1"/>
    <col min="2" max="2" width="7.140625" style="31" customWidth="1"/>
    <col min="3" max="3" width="10.28125" style="360" customWidth="1"/>
    <col min="4" max="4" width="6.28125" style="31" customWidth="1"/>
    <col min="5" max="5" width="9.421875" style="244" customWidth="1"/>
    <col min="6" max="6" width="6.421875" style="31" customWidth="1"/>
    <col min="7" max="7" width="10.00390625" style="360" customWidth="1"/>
    <col min="8" max="8" width="14.8515625" style="48" customWidth="1"/>
    <col min="9" max="9" width="9.28125" style="48" customWidth="1"/>
    <col min="10" max="15" width="8.8515625" style="378" customWidth="1"/>
    <col min="16" max="16" width="12.7109375" style="378" bestFit="1" customWidth="1"/>
    <col min="17" max="16384" width="9.140625" style="378" customWidth="1"/>
  </cols>
  <sheetData>
    <row r="1" spans="1:11" ht="14.25" customHeight="1">
      <c r="A1" s="329" t="s">
        <v>1009</v>
      </c>
      <c r="B1" s="330"/>
      <c r="C1" s="331"/>
      <c r="D1" s="330"/>
      <c r="E1" s="332"/>
      <c r="F1" s="330"/>
      <c r="G1" s="331"/>
      <c r="H1" s="333"/>
      <c r="I1" s="333"/>
      <c r="J1" s="262"/>
      <c r="K1" s="262"/>
    </row>
    <row r="2" spans="1:11" ht="14.25" customHeight="1">
      <c r="A2" s="329" t="s">
        <v>1010</v>
      </c>
      <c r="B2" s="330"/>
      <c r="C2" s="331"/>
      <c r="D2" s="330"/>
      <c r="E2" s="332"/>
      <c r="F2" s="330"/>
      <c r="G2" s="331"/>
      <c r="H2" s="333"/>
      <c r="I2" s="333"/>
      <c r="J2" s="262"/>
      <c r="K2" s="262"/>
    </row>
    <row r="3" spans="1:11" ht="14.25" customHeight="1">
      <c r="A3" s="329" t="s">
        <v>110</v>
      </c>
      <c r="B3" s="330"/>
      <c r="C3" s="331"/>
      <c r="D3" s="330"/>
      <c r="E3" s="332"/>
      <c r="F3" s="330"/>
      <c r="G3" s="331"/>
      <c r="H3" s="333"/>
      <c r="I3" s="333"/>
      <c r="J3" s="262"/>
      <c r="K3" s="262"/>
    </row>
    <row r="4" spans="1:11" ht="14.25" customHeight="1">
      <c r="A4" s="329" t="s">
        <v>5</v>
      </c>
      <c r="B4" s="330"/>
      <c r="C4" s="331"/>
      <c r="D4" s="330"/>
      <c r="E4" s="332"/>
      <c r="F4" s="330"/>
      <c r="G4" s="331"/>
      <c r="H4" s="333"/>
      <c r="I4" s="333"/>
      <c r="J4" s="262"/>
      <c r="K4" s="262"/>
    </row>
    <row r="5" spans="1:11" ht="14.25" customHeight="1">
      <c r="A5" s="329" t="s">
        <v>6</v>
      </c>
      <c r="B5" s="330"/>
      <c r="C5" s="331"/>
      <c r="D5" s="330"/>
      <c r="E5" s="334"/>
      <c r="F5" s="330"/>
      <c r="G5" s="331"/>
      <c r="H5" s="333"/>
      <c r="I5" s="333"/>
      <c r="J5" s="262"/>
      <c r="K5" s="262"/>
    </row>
    <row r="6" spans="1:11" ht="14.25" customHeight="1">
      <c r="A6" s="329" t="s">
        <v>111</v>
      </c>
      <c r="B6" s="330"/>
      <c r="C6" s="331"/>
      <c r="D6" s="330"/>
      <c r="E6" s="332"/>
      <c r="F6" s="330"/>
      <c r="G6" s="331"/>
      <c r="H6" s="333"/>
      <c r="I6" s="333"/>
      <c r="J6" s="262"/>
      <c r="K6" s="262"/>
    </row>
    <row r="7" spans="1:11" ht="14.25" customHeight="1">
      <c r="A7" s="329" t="s">
        <v>112</v>
      </c>
      <c r="B7" s="330"/>
      <c r="C7" s="331"/>
      <c r="D7" s="330"/>
      <c r="E7" s="335" t="s">
        <v>113</v>
      </c>
      <c r="F7" s="330"/>
      <c r="G7" s="331"/>
      <c r="H7" s="333"/>
      <c r="I7" s="333"/>
      <c r="J7" s="262"/>
      <c r="K7" s="262"/>
    </row>
    <row r="8" spans="1:11" ht="14.25" customHeight="1">
      <c r="A8" s="336" t="s">
        <v>1011</v>
      </c>
      <c r="B8" s="337"/>
      <c r="C8" s="338"/>
      <c r="D8" s="337"/>
      <c r="E8" s="339"/>
      <c r="F8" s="337"/>
      <c r="G8" s="338"/>
      <c r="H8" s="340"/>
      <c r="I8" s="340"/>
      <c r="J8" s="262"/>
      <c r="K8" s="262"/>
    </row>
    <row r="9" spans="1:11" ht="14.25" customHeight="1">
      <c r="A9" s="114"/>
      <c r="B9" s="341" t="s">
        <v>45</v>
      </c>
      <c r="C9" s="342"/>
      <c r="D9" s="341" t="s">
        <v>46</v>
      </c>
      <c r="E9" s="342"/>
      <c r="F9" s="341"/>
      <c r="G9" s="343" t="s">
        <v>47</v>
      </c>
      <c r="H9" s="118"/>
      <c r="I9" s="118"/>
      <c r="J9" s="262"/>
      <c r="K9" s="262"/>
    </row>
    <row r="10" spans="1:11" ht="14.25" customHeight="1">
      <c r="A10" s="344" t="s">
        <v>461</v>
      </c>
      <c r="B10" s="345" t="s">
        <v>49</v>
      </c>
      <c r="C10" s="346" t="s">
        <v>50</v>
      </c>
      <c r="D10" s="345" t="s">
        <v>49</v>
      </c>
      <c r="E10" s="346" t="s">
        <v>50</v>
      </c>
      <c r="F10" s="345" t="s">
        <v>49</v>
      </c>
      <c r="G10" s="346" t="s">
        <v>50</v>
      </c>
      <c r="H10" s="347" t="s">
        <v>51</v>
      </c>
      <c r="I10" s="347" t="s">
        <v>52</v>
      </c>
      <c r="J10" s="262"/>
      <c r="K10" s="262"/>
    </row>
    <row r="11" spans="1:11" ht="14.25" customHeight="1">
      <c r="A11" s="119" t="s">
        <v>466</v>
      </c>
      <c r="B11" s="348"/>
      <c r="C11" s="343">
        <v>0</v>
      </c>
      <c r="D11" s="115"/>
      <c r="E11" s="121"/>
      <c r="F11" s="115"/>
      <c r="G11" s="343"/>
      <c r="H11" s="122"/>
      <c r="I11" s="350"/>
      <c r="J11" s="262"/>
      <c r="K11" s="262"/>
    </row>
    <row r="12" spans="1:11" ht="14.25" customHeight="1">
      <c r="A12" s="114" t="s">
        <v>14</v>
      </c>
      <c r="B12" s="122">
        <f aca="true" t="shared" si="0" ref="B12:H12">SUM(B11)</f>
        <v>0</v>
      </c>
      <c r="C12" s="343">
        <f t="shared" si="0"/>
        <v>0</v>
      </c>
      <c r="D12" s="341">
        <f t="shared" si="0"/>
        <v>0</v>
      </c>
      <c r="E12" s="343">
        <f t="shared" si="0"/>
        <v>0</v>
      </c>
      <c r="F12" s="341">
        <f t="shared" si="0"/>
        <v>0</v>
      </c>
      <c r="G12" s="343">
        <f t="shared" si="0"/>
        <v>0</v>
      </c>
      <c r="H12" s="122">
        <f t="shared" si="0"/>
        <v>0</v>
      </c>
      <c r="I12" s="122" t="e">
        <f>H12/G12</f>
        <v>#DIV/0!</v>
      </c>
      <c r="J12" s="262"/>
      <c r="K12" s="262"/>
    </row>
    <row r="13" spans="1:11" ht="14.25" customHeight="1">
      <c r="A13" s="344" t="s">
        <v>462</v>
      </c>
      <c r="B13" s="345" t="s">
        <v>49</v>
      </c>
      <c r="C13" s="346" t="s">
        <v>50</v>
      </c>
      <c r="D13" s="345" t="s">
        <v>49</v>
      </c>
      <c r="E13" s="346" t="s">
        <v>50</v>
      </c>
      <c r="F13" s="345" t="s">
        <v>49</v>
      </c>
      <c r="G13" s="346" t="s">
        <v>50</v>
      </c>
      <c r="H13" s="347" t="s">
        <v>51</v>
      </c>
      <c r="I13" s="347" t="s">
        <v>52</v>
      </c>
      <c r="J13" s="262"/>
      <c r="K13" s="262"/>
    </row>
    <row r="14" spans="1:11" ht="14.25" customHeight="1">
      <c r="A14" s="119" t="s">
        <v>319</v>
      </c>
      <c r="B14" s="362">
        <v>10</v>
      </c>
      <c r="C14" s="349">
        <v>498.5</v>
      </c>
      <c r="D14" s="362">
        <v>0</v>
      </c>
      <c r="E14" s="121">
        <v>0</v>
      </c>
      <c r="F14" s="362">
        <v>10</v>
      </c>
      <c r="G14" s="121">
        <v>498.5</v>
      </c>
      <c r="H14" s="122">
        <v>73778</v>
      </c>
      <c r="I14" s="122">
        <v>148</v>
      </c>
      <c r="J14" s="262"/>
      <c r="K14" s="262"/>
    </row>
    <row r="15" spans="1:11" ht="14.25" customHeight="1">
      <c r="A15" s="119" t="s">
        <v>53</v>
      </c>
      <c r="B15" s="362">
        <v>146</v>
      </c>
      <c r="C15" s="349">
        <v>7286.5</v>
      </c>
      <c r="D15" s="362">
        <v>0</v>
      </c>
      <c r="E15" s="121">
        <v>0</v>
      </c>
      <c r="F15" s="362">
        <v>146</v>
      </c>
      <c r="G15" s="121">
        <v>7286.5</v>
      </c>
      <c r="H15" s="122" t="s">
        <v>1012</v>
      </c>
      <c r="I15" s="122">
        <v>159.64</v>
      </c>
      <c r="J15" s="262"/>
      <c r="K15" s="262"/>
    </row>
    <row r="16" spans="1:11" ht="14.25" customHeight="1">
      <c r="A16" s="119" t="s">
        <v>128</v>
      </c>
      <c r="B16" s="362">
        <v>25</v>
      </c>
      <c r="C16" s="349">
        <v>1247</v>
      </c>
      <c r="D16" s="362">
        <v>5</v>
      </c>
      <c r="E16" s="121">
        <v>249.2</v>
      </c>
      <c r="F16" s="362">
        <v>30</v>
      </c>
      <c r="G16" s="121">
        <v>1496.2</v>
      </c>
      <c r="H16" s="122" t="s">
        <v>1013</v>
      </c>
      <c r="I16" s="122">
        <v>204.84</v>
      </c>
      <c r="J16" s="262"/>
      <c r="K16" s="262"/>
    </row>
    <row r="17" spans="1:11" ht="14.25" customHeight="1">
      <c r="A17" s="119" t="s">
        <v>59</v>
      </c>
      <c r="B17" s="362">
        <v>44</v>
      </c>
      <c r="C17" s="349">
        <v>2195.5</v>
      </c>
      <c r="D17" s="362">
        <v>0</v>
      </c>
      <c r="E17" s="121">
        <v>0</v>
      </c>
      <c r="F17" s="362">
        <v>44</v>
      </c>
      <c r="G17" s="121">
        <v>2195.5</v>
      </c>
      <c r="H17" s="122" t="s">
        <v>1014</v>
      </c>
      <c r="I17" s="122">
        <v>229.32</v>
      </c>
      <c r="J17" s="262"/>
      <c r="K17" s="262"/>
    </row>
    <row r="18" spans="1:11" ht="14.25" customHeight="1">
      <c r="A18" s="119" t="s">
        <v>61</v>
      </c>
      <c r="B18" s="362">
        <v>10</v>
      </c>
      <c r="C18" s="349">
        <v>498.5</v>
      </c>
      <c r="D18" s="362">
        <v>0</v>
      </c>
      <c r="E18" s="121">
        <v>0</v>
      </c>
      <c r="F18" s="362">
        <v>10</v>
      </c>
      <c r="G18" s="121">
        <v>498.5</v>
      </c>
      <c r="H18" s="122">
        <v>54835</v>
      </c>
      <c r="I18" s="122">
        <v>110</v>
      </c>
      <c r="J18" s="262"/>
      <c r="K18" s="262"/>
    </row>
    <row r="19" spans="1:11" ht="14.25" customHeight="1">
      <c r="A19" s="119" t="s">
        <v>63</v>
      </c>
      <c r="B19" s="362">
        <v>3</v>
      </c>
      <c r="C19" s="349">
        <v>21</v>
      </c>
      <c r="D19" s="362">
        <v>0</v>
      </c>
      <c r="E19" s="121">
        <v>0</v>
      </c>
      <c r="F19" s="362">
        <v>3</v>
      </c>
      <c r="G19" s="121">
        <v>21</v>
      </c>
      <c r="H19" s="122">
        <v>23100</v>
      </c>
      <c r="I19" s="122">
        <v>1100</v>
      </c>
      <c r="J19" s="262"/>
      <c r="K19" s="262"/>
    </row>
    <row r="20" spans="1:11" ht="14.25" customHeight="1">
      <c r="A20" s="119" t="s">
        <v>872</v>
      </c>
      <c r="B20" s="114"/>
      <c r="C20" s="349">
        <v>0</v>
      </c>
      <c r="D20" s="362">
        <v>10</v>
      </c>
      <c r="E20" s="121">
        <v>499.2</v>
      </c>
      <c r="F20" s="362">
        <v>10</v>
      </c>
      <c r="G20" s="121">
        <v>499.2</v>
      </c>
      <c r="H20" s="122" t="s">
        <v>1015</v>
      </c>
      <c r="I20" s="122">
        <v>267</v>
      </c>
      <c r="J20" s="262"/>
      <c r="K20" s="262"/>
    </row>
    <row r="21" spans="1:11" ht="14.25" customHeight="1">
      <c r="A21" s="119" t="s">
        <v>329</v>
      </c>
      <c r="B21" s="362">
        <v>24</v>
      </c>
      <c r="C21" s="349">
        <v>1198.5</v>
      </c>
      <c r="D21" s="362">
        <v>0</v>
      </c>
      <c r="E21" s="121">
        <v>0</v>
      </c>
      <c r="F21" s="362">
        <v>24</v>
      </c>
      <c r="G21" s="121">
        <v>1198.5</v>
      </c>
      <c r="H21" s="122" t="s">
        <v>1016</v>
      </c>
      <c r="I21" s="122">
        <v>230</v>
      </c>
      <c r="J21" s="262"/>
      <c r="K21" s="262"/>
    </row>
    <row r="22" spans="1:11" ht="14.25" customHeight="1">
      <c r="A22" s="119" t="s">
        <v>67</v>
      </c>
      <c r="B22" s="362">
        <v>20</v>
      </c>
      <c r="C22" s="349">
        <v>998.5</v>
      </c>
      <c r="D22" s="362">
        <v>0</v>
      </c>
      <c r="E22" s="121">
        <v>0</v>
      </c>
      <c r="F22" s="362">
        <v>20</v>
      </c>
      <c r="G22" s="121">
        <v>998.5</v>
      </c>
      <c r="H22" s="122" t="s">
        <v>1017</v>
      </c>
      <c r="I22" s="122">
        <v>141.51</v>
      </c>
      <c r="J22" s="262"/>
      <c r="K22" s="262"/>
    </row>
    <row r="23" spans="1:11" ht="14.25" customHeight="1">
      <c r="A23" s="119" t="s">
        <v>71</v>
      </c>
      <c r="B23" s="362">
        <v>380</v>
      </c>
      <c r="C23" s="349">
        <v>18976</v>
      </c>
      <c r="D23" s="362">
        <v>0</v>
      </c>
      <c r="E23" s="121">
        <v>0</v>
      </c>
      <c r="F23" s="362">
        <v>380</v>
      </c>
      <c r="G23" s="121">
        <v>18976</v>
      </c>
      <c r="H23" s="122" t="s">
        <v>1018</v>
      </c>
      <c r="I23" s="122">
        <v>197.15</v>
      </c>
      <c r="J23" s="262"/>
      <c r="K23" s="262"/>
    </row>
    <row r="24" spans="1:11" ht="14.25" customHeight="1">
      <c r="A24" s="119" t="s">
        <v>1019</v>
      </c>
      <c r="B24" s="362">
        <v>10</v>
      </c>
      <c r="C24" s="349">
        <v>495.5</v>
      </c>
      <c r="D24" s="362">
        <v>0</v>
      </c>
      <c r="E24" s="121">
        <v>0</v>
      </c>
      <c r="F24" s="362">
        <v>10</v>
      </c>
      <c r="G24" s="121">
        <v>495.5</v>
      </c>
      <c r="H24" s="122">
        <v>56982.5</v>
      </c>
      <c r="I24" s="122">
        <v>115</v>
      </c>
      <c r="J24" s="262"/>
      <c r="K24" s="262"/>
    </row>
    <row r="25" spans="1:11" ht="14.25" customHeight="1">
      <c r="A25" s="119" t="s">
        <v>73</v>
      </c>
      <c r="B25" s="362">
        <v>10</v>
      </c>
      <c r="C25" s="349">
        <v>498.5</v>
      </c>
      <c r="D25" s="362">
        <v>0</v>
      </c>
      <c r="E25" s="121">
        <v>0</v>
      </c>
      <c r="F25" s="362">
        <v>10</v>
      </c>
      <c r="G25" s="121">
        <v>498.5</v>
      </c>
      <c r="H25" s="122">
        <v>67297.5</v>
      </c>
      <c r="I25" s="122">
        <v>135</v>
      </c>
      <c r="J25" s="262"/>
      <c r="K25" s="262"/>
    </row>
    <row r="26" spans="1:11" ht="14.25" customHeight="1">
      <c r="A26" s="119" t="s">
        <v>77</v>
      </c>
      <c r="B26" s="362">
        <v>30</v>
      </c>
      <c r="C26" s="349">
        <v>1499.5</v>
      </c>
      <c r="D26" s="362">
        <v>15</v>
      </c>
      <c r="E26" s="121">
        <v>747.2</v>
      </c>
      <c r="F26" s="362">
        <v>45</v>
      </c>
      <c r="G26" s="121">
        <v>2246.7</v>
      </c>
      <c r="H26" s="122" t="s">
        <v>1020</v>
      </c>
      <c r="I26" s="122">
        <v>135.23</v>
      </c>
      <c r="J26" s="262"/>
      <c r="K26" s="262"/>
    </row>
    <row r="27" spans="1:11" ht="14.25" customHeight="1">
      <c r="A27" s="119" t="s">
        <v>79</v>
      </c>
      <c r="B27" s="114"/>
      <c r="C27" s="349">
        <v>0</v>
      </c>
      <c r="D27" s="362">
        <v>5</v>
      </c>
      <c r="E27" s="121">
        <v>249</v>
      </c>
      <c r="F27" s="362">
        <v>5</v>
      </c>
      <c r="G27" s="121">
        <v>249</v>
      </c>
      <c r="H27" s="122">
        <v>28386</v>
      </c>
      <c r="I27" s="122">
        <v>114</v>
      </c>
      <c r="J27" s="262"/>
      <c r="K27" s="262"/>
    </row>
    <row r="28" spans="1:11" ht="14.25" customHeight="1">
      <c r="A28" s="119" t="s">
        <v>221</v>
      </c>
      <c r="B28" s="114"/>
      <c r="C28" s="349">
        <v>0</v>
      </c>
      <c r="D28" s="362">
        <v>80</v>
      </c>
      <c r="E28" s="121">
        <v>3989.6</v>
      </c>
      <c r="F28" s="362">
        <v>80</v>
      </c>
      <c r="G28" s="121">
        <v>3989.6</v>
      </c>
      <c r="H28" s="122" t="s">
        <v>1021</v>
      </c>
      <c r="I28" s="122">
        <v>123.13</v>
      </c>
      <c r="J28" s="262"/>
      <c r="K28" s="262"/>
    </row>
    <row r="29" spans="1:11" ht="14.25" customHeight="1">
      <c r="A29" s="119" t="s">
        <v>83</v>
      </c>
      <c r="B29" s="362">
        <v>50</v>
      </c>
      <c r="C29" s="349">
        <v>2492.5</v>
      </c>
      <c r="D29" s="362">
        <v>0</v>
      </c>
      <c r="E29" s="121">
        <v>0</v>
      </c>
      <c r="F29" s="362">
        <v>50</v>
      </c>
      <c r="G29" s="121">
        <v>2492.5</v>
      </c>
      <c r="H29" s="122" t="s">
        <v>1022</v>
      </c>
      <c r="I29" s="122">
        <v>139.6</v>
      </c>
      <c r="J29" s="262"/>
      <c r="K29" s="262"/>
    </row>
    <row r="30" spans="1:11" ht="14.25" customHeight="1">
      <c r="A30" s="119" t="s">
        <v>1023</v>
      </c>
      <c r="B30" s="362">
        <v>15</v>
      </c>
      <c r="C30" s="349">
        <v>748.5</v>
      </c>
      <c r="D30" s="362">
        <v>0</v>
      </c>
      <c r="E30" s="121">
        <v>0</v>
      </c>
      <c r="F30" s="362">
        <v>15</v>
      </c>
      <c r="G30" s="121">
        <v>748.5</v>
      </c>
      <c r="H30" s="122" t="s">
        <v>1024</v>
      </c>
      <c r="I30" s="122">
        <v>210</v>
      </c>
      <c r="J30" s="262"/>
      <c r="K30" s="262"/>
    </row>
    <row r="31" spans="1:11" ht="14.25" customHeight="1">
      <c r="A31" s="119" t="s">
        <v>150</v>
      </c>
      <c r="B31" s="362">
        <v>10</v>
      </c>
      <c r="C31" s="349">
        <v>498.5</v>
      </c>
      <c r="D31" s="362">
        <v>0</v>
      </c>
      <c r="E31" s="121">
        <v>0</v>
      </c>
      <c r="F31" s="362">
        <v>10</v>
      </c>
      <c r="G31" s="121">
        <v>498.5</v>
      </c>
      <c r="H31" s="122" t="s">
        <v>473</v>
      </c>
      <c r="I31" s="122">
        <v>225</v>
      </c>
      <c r="J31" s="262"/>
      <c r="K31" s="262"/>
    </row>
    <row r="32" spans="1:11" ht="14.25" customHeight="1">
      <c r="A32" s="119" t="s">
        <v>92</v>
      </c>
      <c r="B32" s="362">
        <v>60</v>
      </c>
      <c r="C32" s="349">
        <v>2988</v>
      </c>
      <c r="D32" s="362">
        <v>115</v>
      </c>
      <c r="E32" s="121">
        <v>5736.5</v>
      </c>
      <c r="F32" s="362">
        <v>175</v>
      </c>
      <c r="G32" s="121">
        <v>8724.5</v>
      </c>
      <c r="H32" s="122">
        <v>1053312.3</v>
      </c>
      <c r="I32" s="122">
        <v>120.73039142644278</v>
      </c>
      <c r="J32" s="262"/>
      <c r="K32" s="262"/>
    </row>
    <row r="33" spans="1:11" ht="14.25" customHeight="1">
      <c r="A33" s="119" t="s">
        <v>233</v>
      </c>
      <c r="B33" s="114"/>
      <c r="C33" s="349">
        <v>0</v>
      </c>
      <c r="D33" s="362">
        <v>10</v>
      </c>
      <c r="E33" s="121">
        <v>498.5</v>
      </c>
      <c r="F33" s="362">
        <v>10</v>
      </c>
      <c r="G33" s="121">
        <v>498.5</v>
      </c>
      <c r="H33" s="122">
        <v>55333.5</v>
      </c>
      <c r="I33" s="122">
        <v>111</v>
      </c>
      <c r="J33" s="262"/>
      <c r="K33" s="262"/>
    </row>
    <row r="34" spans="1:11" ht="14.25" customHeight="1">
      <c r="A34" s="119" t="s">
        <v>98</v>
      </c>
      <c r="B34" s="362">
        <v>126</v>
      </c>
      <c r="C34" s="349">
        <v>6290.5</v>
      </c>
      <c r="D34" s="362">
        <v>10</v>
      </c>
      <c r="E34" s="121">
        <v>499.2</v>
      </c>
      <c r="F34" s="362">
        <v>136</v>
      </c>
      <c r="G34" s="121">
        <v>6789.7</v>
      </c>
      <c r="H34" s="122">
        <v>1527132</v>
      </c>
      <c r="I34" s="122">
        <v>224.91892130727425</v>
      </c>
      <c r="J34" s="262"/>
      <c r="K34" s="262"/>
    </row>
    <row r="35" spans="1:11" ht="14.25" customHeight="1">
      <c r="A35" s="119" t="s">
        <v>99</v>
      </c>
      <c r="B35" s="114"/>
      <c r="C35" s="349">
        <v>0</v>
      </c>
      <c r="D35" s="362">
        <v>20</v>
      </c>
      <c r="E35" s="121">
        <v>998.4</v>
      </c>
      <c r="F35" s="362">
        <v>20</v>
      </c>
      <c r="G35" s="121">
        <v>998.4</v>
      </c>
      <c r="H35" s="122" t="s">
        <v>1025</v>
      </c>
      <c r="I35" s="122">
        <v>195</v>
      </c>
      <c r="J35" s="262"/>
      <c r="K35" s="262"/>
    </row>
    <row r="36" spans="1:11" ht="14.25" customHeight="1">
      <c r="A36" s="119" t="s">
        <v>578</v>
      </c>
      <c r="B36" s="362">
        <v>100</v>
      </c>
      <c r="C36" s="349">
        <v>4980.5</v>
      </c>
      <c r="D36" s="362">
        <v>30</v>
      </c>
      <c r="E36" s="121">
        <v>1497.6</v>
      </c>
      <c r="F36" s="362">
        <v>130</v>
      </c>
      <c r="G36" s="121">
        <v>6478.1</v>
      </c>
      <c r="H36" s="122" t="s">
        <v>1026</v>
      </c>
      <c r="I36" s="122">
        <v>131.1</v>
      </c>
      <c r="J36" s="262"/>
      <c r="K36" s="262"/>
    </row>
    <row r="37" spans="1:11" ht="14.25" customHeight="1">
      <c r="A37" s="119" t="s">
        <v>14</v>
      </c>
      <c r="B37" s="363">
        <v>1073</v>
      </c>
      <c r="C37" s="349">
        <v>53412</v>
      </c>
      <c r="D37" s="362">
        <v>300</v>
      </c>
      <c r="E37" s="121">
        <v>14964.4</v>
      </c>
      <c r="F37" s="363">
        <v>1373</v>
      </c>
      <c r="G37" s="121">
        <v>68376.4</v>
      </c>
      <c r="H37" s="122" t="s">
        <v>1027</v>
      </c>
      <c r="I37" s="122">
        <v>170.54</v>
      </c>
      <c r="J37" s="262"/>
      <c r="K37" s="262"/>
    </row>
    <row r="38" spans="1:11" ht="14.25" customHeight="1">
      <c r="A38" s="344"/>
      <c r="B38" s="345"/>
      <c r="C38" s="346"/>
      <c r="D38" s="345"/>
      <c r="E38" s="346"/>
      <c r="F38" s="345"/>
      <c r="G38" s="346"/>
      <c r="H38" s="347"/>
      <c r="I38" s="347"/>
      <c r="J38" s="262"/>
      <c r="K38" s="262"/>
    </row>
    <row r="39" spans="1:10" ht="14.25" customHeight="1">
      <c r="A39" s="344"/>
      <c r="B39" s="355"/>
      <c r="C39" s="342"/>
      <c r="D39" s="355"/>
      <c r="E39" s="117"/>
      <c r="F39" s="356"/>
      <c r="G39" s="342" t="s">
        <v>119</v>
      </c>
      <c r="H39" s="118"/>
      <c r="I39" s="118"/>
      <c r="J39" s="1"/>
    </row>
    <row r="40" spans="1:10" ht="14.25" customHeight="1">
      <c r="A40" s="344"/>
      <c r="B40" s="355"/>
      <c r="C40" s="342"/>
      <c r="D40" s="355"/>
      <c r="E40" s="114"/>
      <c r="F40" s="117"/>
      <c r="G40" s="359" t="s">
        <v>121</v>
      </c>
      <c r="H40" s="118"/>
      <c r="I40" s="118"/>
      <c r="J40" s="1"/>
    </row>
    <row r="41" spans="1:9" ht="14.25" customHeight="1">
      <c r="A41" s="344"/>
      <c r="B41" s="355"/>
      <c r="C41" s="342"/>
      <c r="D41" s="355"/>
      <c r="E41" s="117"/>
      <c r="F41" s="355"/>
      <c r="G41" s="342"/>
      <c r="H41" s="118"/>
      <c r="I41" s="118"/>
    </row>
    <row r="42" spans="1:9" ht="14.25" customHeight="1">
      <c r="A42" s="329" t="s">
        <v>117</v>
      </c>
      <c r="B42" s="355"/>
      <c r="C42" s="342"/>
      <c r="D42" s="355"/>
      <c r="E42" s="117"/>
      <c r="F42" s="355"/>
      <c r="G42" s="342"/>
      <c r="H42" s="118"/>
      <c r="I42" s="118"/>
    </row>
    <row r="43" spans="1:9" ht="14.25" customHeight="1">
      <c r="A43" s="329" t="s">
        <v>118</v>
      </c>
      <c r="B43" s="355"/>
      <c r="C43" s="342"/>
      <c r="D43" s="355"/>
      <c r="E43" s="117"/>
      <c r="F43" s="355"/>
      <c r="G43" s="342"/>
      <c r="H43" s="118"/>
      <c r="I43" s="118"/>
    </row>
    <row r="44" spans="1:9" ht="14.25" customHeight="1">
      <c r="A44" s="329" t="s">
        <v>120</v>
      </c>
      <c r="B44" s="355"/>
      <c r="C44" s="342"/>
      <c r="D44" s="355"/>
      <c r="E44" s="117"/>
      <c r="F44" s="355"/>
      <c r="G44" s="342"/>
      <c r="H44" s="118"/>
      <c r="I44" s="118"/>
    </row>
    <row r="45" spans="1:9" ht="14.25" customHeight="1">
      <c r="A45" s="329" t="s">
        <v>122</v>
      </c>
      <c r="B45" s="355"/>
      <c r="C45" s="342"/>
      <c r="D45" s="355"/>
      <c r="E45" s="117"/>
      <c r="F45" s="355"/>
      <c r="G45" s="342"/>
      <c r="H45" s="118"/>
      <c r="I45" s="118"/>
    </row>
    <row r="46" spans="1:9" ht="14.25" customHeight="1">
      <c r="A46" s="329" t="s">
        <v>123</v>
      </c>
      <c r="B46" s="355"/>
      <c r="C46" s="342"/>
      <c r="D46" s="355"/>
      <c r="E46" s="117"/>
      <c r="F46" s="355"/>
      <c r="G46" s="342"/>
      <c r="H46" s="118"/>
      <c r="I46" s="118"/>
    </row>
    <row r="47" spans="1:9" ht="14.25" customHeight="1">
      <c r="A47" s="114"/>
      <c r="B47" s="355"/>
      <c r="C47" s="342"/>
      <c r="D47" s="355"/>
      <c r="E47" s="117"/>
      <c r="F47" s="355"/>
      <c r="G47" s="342"/>
      <c r="H47" s="118"/>
      <c r="I47" s="118"/>
    </row>
  </sheetData>
  <sheetProtection/>
  <printOptions/>
  <pageMargins left="0.7" right="0.7" top="0.58" bottom="0.5" header="0.3" footer="0.3"/>
  <pageSetup horizontalDpi="600" verticalDpi="600" orientation="portrait" paperSize="9" scale="85" r:id="rId1"/>
  <headerFooter>
    <oddHeader>&amp;RProduce Brokers Limited
1349/A, North Agrabad, D.T. Road Askarabad (1st floor)
Chattogram-4224
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27.7109375" style="378" customWidth="1"/>
    <col min="2" max="2" width="7.140625" style="31" customWidth="1"/>
    <col min="3" max="3" width="10.28125" style="360" customWidth="1"/>
    <col min="4" max="4" width="6.28125" style="31" customWidth="1"/>
    <col min="5" max="5" width="9.421875" style="244" customWidth="1"/>
    <col min="6" max="6" width="6.421875" style="31" customWidth="1"/>
    <col min="7" max="7" width="10.00390625" style="360" customWidth="1"/>
    <col min="8" max="8" width="14.8515625" style="48" customWidth="1"/>
    <col min="9" max="9" width="9.28125" style="48" customWidth="1"/>
    <col min="10" max="15" width="8.8515625" style="378" customWidth="1"/>
    <col min="16" max="16" width="12.7109375" style="378" bestFit="1" customWidth="1"/>
    <col min="17" max="16384" width="9.140625" style="378" customWidth="1"/>
  </cols>
  <sheetData>
    <row r="1" spans="1:11" ht="14.25" customHeight="1">
      <c r="A1" s="329" t="s">
        <v>973</v>
      </c>
      <c r="B1" s="330"/>
      <c r="C1" s="331"/>
      <c r="D1" s="330"/>
      <c r="E1" s="332"/>
      <c r="F1" s="330"/>
      <c r="G1" s="331"/>
      <c r="H1" s="333"/>
      <c r="I1" s="333"/>
      <c r="J1" s="262"/>
      <c r="K1" s="262"/>
    </row>
    <row r="2" spans="1:11" ht="14.25" customHeight="1">
      <c r="A2" s="329" t="s">
        <v>941</v>
      </c>
      <c r="B2" s="330"/>
      <c r="C2" s="331"/>
      <c r="D2" s="330"/>
      <c r="E2" s="332"/>
      <c r="F2" s="330"/>
      <c r="G2" s="331"/>
      <c r="H2" s="333"/>
      <c r="I2" s="333"/>
      <c r="J2" s="262"/>
      <c r="K2" s="262"/>
    </row>
    <row r="3" spans="1:11" ht="14.25" customHeight="1">
      <c r="A3" s="329" t="s">
        <v>110</v>
      </c>
      <c r="B3" s="330"/>
      <c r="C3" s="331"/>
      <c r="D3" s="330"/>
      <c r="E3" s="332"/>
      <c r="F3" s="330"/>
      <c r="G3" s="331"/>
      <c r="H3" s="333"/>
      <c r="I3" s="333"/>
      <c r="J3" s="262"/>
      <c r="K3" s="262"/>
    </row>
    <row r="4" spans="1:11" ht="14.25" customHeight="1">
      <c r="A4" s="329" t="s">
        <v>5</v>
      </c>
      <c r="B4" s="330"/>
      <c r="C4" s="331"/>
      <c r="D4" s="330"/>
      <c r="E4" s="332"/>
      <c r="F4" s="330"/>
      <c r="G4" s="331"/>
      <c r="H4" s="333"/>
      <c r="I4" s="333"/>
      <c r="J4" s="262"/>
      <c r="K4" s="262"/>
    </row>
    <row r="5" spans="1:11" ht="14.25" customHeight="1">
      <c r="A5" s="329" t="s">
        <v>6</v>
      </c>
      <c r="B5" s="330"/>
      <c r="C5" s="331"/>
      <c r="D5" s="330"/>
      <c r="E5" s="334"/>
      <c r="F5" s="330"/>
      <c r="G5" s="331"/>
      <c r="H5" s="333"/>
      <c r="I5" s="333"/>
      <c r="J5" s="262"/>
      <c r="K5" s="262"/>
    </row>
    <row r="6" spans="1:11" ht="14.25" customHeight="1">
      <c r="A6" s="329" t="s">
        <v>111</v>
      </c>
      <c r="B6" s="330"/>
      <c r="C6" s="331"/>
      <c r="D6" s="330"/>
      <c r="E6" s="332"/>
      <c r="F6" s="330"/>
      <c r="G6" s="331"/>
      <c r="H6" s="333"/>
      <c r="I6" s="333"/>
      <c r="J6" s="262"/>
      <c r="K6" s="262"/>
    </row>
    <row r="7" spans="1:11" ht="14.25" customHeight="1">
      <c r="A7" s="329" t="s">
        <v>112</v>
      </c>
      <c r="B7" s="330"/>
      <c r="C7" s="331"/>
      <c r="D7" s="330"/>
      <c r="E7" s="335" t="s">
        <v>113</v>
      </c>
      <c r="F7" s="330"/>
      <c r="G7" s="331"/>
      <c r="H7" s="333"/>
      <c r="I7" s="333"/>
      <c r="J7" s="262"/>
      <c r="K7" s="262"/>
    </row>
    <row r="8" spans="1:11" ht="14.25" customHeight="1">
      <c r="A8" s="336" t="s">
        <v>1008</v>
      </c>
      <c r="B8" s="337"/>
      <c r="C8" s="338"/>
      <c r="D8" s="337"/>
      <c r="E8" s="339"/>
      <c r="F8" s="337"/>
      <c r="G8" s="338"/>
      <c r="H8" s="340"/>
      <c r="I8" s="340"/>
      <c r="J8" s="262"/>
      <c r="K8" s="262"/>
    </row>
    <row r="9" spans="1:11" ht="14.25" customHeight="1">
      <c r="A9" s="114"/>
      <c r="B9" s="341" t="s">
        <v>45</v>
      </c>
      <c r="C9" s="342"/>
      <c r="D9" s="341" t="s">
        <v>46</v>
      </c>
      <c r="E9" s="342"/>
      <c r="F9" s="341"/>
      <c r="G9" s="343" t="s">
        <v>47</v>
      </c>
      <c r="H9" s="118"/>
      <c r="I9" s="118"/>
      <c r="J9" s="262"/>
      <c r="K9" s="262"/>
    </row>
    <row r="10" spans="1:11" ht="14.25" customHeight="1">
      <c r="A10" s="344" t="s">
        <v>461</v>
      </c>
      <c r="B10" s="345" t="s">
        <v>49</v>
      </c>
      <c r="C10" s="346" t="s">
        <v>50</v>
      </c>
      <c r="D10" s="345" t="s">
        <v>49</v>
      </c>
      <c r="E10" s="346" t="s">
        <v>50</v>
      </c>
      <c r="F10" s="345" t="s">
        <v>49</v>
      </c>
      <c r="G10" s="346" t="s">
        <v>50</v>
      </c>
      <c r="H10" s="347" t="s">
        <v>51</v>
      </c>
      <c r="I10" s="347" t="s">
        <v>52</v>
      </c>
      <c r="J10" s="262"/>
      <c r="K10" s="262"/>
    </row>
    <row r="11" spans="1:11" ht="14.25" customHeight="1">
      <c r="A11" s="119" t="s">
        <v>466</v>
      </c>
      <c r="B11" s="348"/>
      <c r="C11" s="343">
        <v>0</v>
      </c>
      <c r="D11" s="115"/>
      <c r="E11" s="121"/>
      <c r="F11" s="115"/>
      <c r="G11" s="343"/>
      <c r="H11" s="122"/>
      <c r="I11" s="350"/>
      <c r="J11" s="262"/>
      <c r="K11" s="262"/>
    </row>
    <row r="12" spans="1:11" ht="14.25" customHeight="1">
      <c r="A12" s="114" t="s">
        <v>14</v>
      </c>
      <c r="B12" s="122">
        <f aca="true" t="shared" si="0" ref="B12:H12">SUM(B11)</f>
        <v>0</v>
      </c>
      <c r="C12" s="343">
        <f t="shared" si="0"/>
        <v>0</v>
      </c>
      <c r="D12" s="341">
        <f t="shared" si="0"/>
        <v>0</v>
      </c>
      <c r="E12" s="343">
        <f t="shared" si="0"/>
        <v>0</v>
      </c>
      <c r="F12" s="341">
        <f t="shared" si="0"/>
        <v>0</v>
      </c>
      <c r="G12" s="343">
        <f t="shared" si="0"/>
        <v>0</v>
      </c>
      <c r="H12" s="122">
        <f t="shared" si="0"/>
        <v>0</v>
      </c>
      <c r="I12" s="122" t="e">
        <f>H12/G12</f>
        <v>#DIV/0!</v>
      </c>
      <c r="J12" s="262"/>
      <c r="K12" s="262"/>
    </row>
    <row r="13" spans="1:11" ht="14.25" customHeight="1">
      <c r="A13" s="344" t="s">
        <v>462</v>
      </c>
      <c r="B13" s="345" t="s">
        <v>49</v>
      </c>
      <c r="C13" s="346" t="s">
        <v>50</v>
      </c>
      <c r="D13" s="345" t="s">
        <v>49</v>
      </c>
      <c r="E13" s="346" t="s">
        <v>50</v>
      </c>
      <c r="F13" s="345" t="s">
        <v>49</v>
      </c>
      <c r="G13" s="346" t="s">
        <v>50</v>
      </c>
      <c r="H13" s="347" t="s">
        <v>51</v>
      </c>
      <c r="I13" s="347" t="s">
        <v>52</v>
      </c>
      <c r="J13" s="262"/>
      <c r="K13" s="262"/>
    </row>
    <row r="14" spans="1:11" ht="14.25" customHeight="1">
      <c r="A14" s="351" t="s">
        <v>319</v>
      </c>
      <c r="B14" s="341">
        <v>20</v>
      </c>
      <c r="C14" s="343">
        <v>997</v>
      </c>
      <c r="D14" s="341">
        <v>0</v>
      </c>
      <c r="E14" s="343">
        <v>0</v>
      </c>
      <c r="F14" s="341">
        <v>20</v>
      </c>
      <c r="G14" s="343">
        <v>997</v>
      </c>
      <c r="H14" s="122" t="s">
        <v>983</v>
      </c>
      <c r="I14" s="122">
        <v>239.5</v>
      </c>
      <c r="J14" s="262"/>
      <c r="K14" s="262"/>
    </row>
    <row r="15" spans="1:11" ht="14.25" customHeight="1">
      <c r="A15" s="351" t="s">
        <v>53</v>
      </c>
      <c r="B15" s="341">
        <v>355</v>
      </c>
      <c r="C15" s="343">
        <v>17726</v>
      </c>
      <c r="D15" s="341">
        <v>0</v>
      </c>
      <c r="E15" s="343">
        <v>0</v>
      </c>
      <c r="F15" s="341">
        <v>355</v>
      </c>
      <c r="G15" s="343">
        <v>17726</v>
      </c>
      <c r="H15" s="122" t="s">
        <v>984</v>
      </c>
      <c r="I15" s="122">
        <v>171.83</v>
      </c>
      <c r="J15" s="262"/>
      <c r="K15" s="262"/>
    </row>
    <row r="16" spans="1:11" ht="14.25" customHeight="1">
      <c r="A16" s="351" t="s">
        <v>322</v>
      </c>
      <c r="B16" s="341">
        <v>50</v>
      </c>
      <c r="C16" s="343">
        <v>2494.5</v>
      </c>
      <c r="D16" s="341">
        <v>0</v>
      </c>
      <c r="E16" s="343">
        <v>0</v>
      </c>
      <c r="F16" s="341">
        <v>50</v>
      </c>
      <c r="G16" s="343">
        <v>2494.5</v>
      </c>
      <c r="H16" s="122" t="s">
        <v>985</v>
      </c>
      <c r="I16" s="122">
        <v>214.21</v>
      </c>
      <c r="J16" s="262"/>
      <c r="K16" s="262"/>
    </row>
    <row r="17" spans="1:11" ht="14.25" customHeight="1">
      <c r="A17" s="351" t="s">
        <v>128</v>
      </c>
      <c r="B17" s="341">
        <v>10</v>
      </c>
      <c r="C17" s="343">
        <v>497</v>
      </c>
      <c r="D17" s="341">
        <v>15</v>
      </c>
      <c r="E17" s="343">
        <v>747.2</v>
      </c>
      <c r="F17" s="341">
        <v>25</v>
      </c>
      <c r="G17" s="343">
        <v>1244.2</v>
      </c>
      <c r="H17" s="122" t="s">
        <v>986</v>
      </c>
      <c r="I17" s="122">
        <v>102</v>
      </c>
      <c r="J17" s="262"/>
      <c r="K17" s="262"/>
    </row>
    <row r="18" spans="1:11" ht="14.25" customHeight="1">
      <c r="A18" s="351" t="s">
        <v>987</v>
      </c>
      <c r="B18" s="341">
        <v>10</v>
      </c>
      <c r="C18" s="343">
        <v>498.5</v>
      </c>
      <c r="D18" s="341">
        <v>0</v>
      </c>
      <c r="E18" s="343">
        <v>0</v>
      </c>
      <c r="F18" s="341">
        <v>10</v>
      </c>
      <c r="G18" s="343">
        <v>498.5</v>
      </c>
      <c r="H18" s="122">
        <v>47357.5</v>
      </c>
      <c r="I18" s="122">
        <v>95</v>
      </c>
      <c r="J18" s="262"/>
      <c r="K18" s="262"/>
    </row>
    <row r="19" spans="1:11" ht="14.25" customHeight="1">
      <c r="A19" s="351" t="s">
        <v>57</v>
      </c>
      <c r="B19" s="341">
        <v>30</v>
      </c>
      <c r="C19" s="343">
        <v>1497</v>
      </c>
      <c r="D19" s="341">
        <v>0</v>
      </c>
      <c r="E19" s="343">
        <v>0</v>
      </c>
      <c r="F19" s="341">
        <v>30</v>
      </c>
      <c r="G19" s="343">
        <v>1497</v>
      </c>
      <c r="H19" s="122" t="s">
        <v>988</v>
      </c>
      <c r="I19" s="122">
        <v>171.67</v>
      </c>
      <c r="J19" s="262"/>
      <c r="K19" s="262"/>
    </row>
    <row r="20" spans="1:11" ht="14.25" customHeight="1">
      <c r="A20" s="351" t="s">
        <v>475</v>
      </c>
      <c r="B20" s="341">
        <v>60</v>
      </c>
      <c r="C20" s="343">
        <v>2995.5</v>
      </c>
      <c r="D20" s="341">
        <v>0</v>
      </c>
      <c r="E20" s="343">
        <v>0</v>
      </c>
      <c r="F20" s="341">
        <v>60</v>
      </c>
      <c r="G20" s="343">
        <v>2995.5</v>
      </c>
      <c r="H20" s="122" t="s">
        <v>989</v>
      </c>
      <c r="I20" s="122">
        <v>180.75</v>
      </c>
      <c r="J20" s="262"/>
      <c r="K20" s="262"/>
    </row>
    <row r="21" spans="1:11" ht="14.25" customHeight="1">
      <c r="A21" s="351" t="s">
        <v>61</v>
      </c>
      <c r="B21" s="341">
        <v>25</v>
      </c>
      <c r="C21" s="343">
        <v>1242.5</v>
      </c>
      <c r="D21" s="341">
        <v>0</v>
      </c>
      <c r="E21" s="343">
        <v>0</v>
      </c>
      <c r="F21" s="341">
        <v>25</v>
      </c>
      <c r="G21" s="343">
        <v>1242.5</v>
      </c>
      <c r="H21" s="122" t="s">
        <v>211</v>
      </c>
      <c r="I21" s="122">
        <v>126.8</v>
      </c>
      <c r="J21" s="262"/>
      <c r="K21" s="262"/>
    </row>
    <row r="22" spans="1:11" ht="14.25" customHeight="1">
      <c r="A22" s="351" t="s">
        <v>63</v>
      </c>
      <c r="B22" s="341">
        <v>16</v>
      </c>
      <c r="C22" s="343">
        <v>757</v>
      </c>
      <c r="D22" s="341">
        <v>0</v>
      </c>
      <c r="E22" s="343">
        <v>0</v>
      </c>
      <c r="F22" s="341">
        <v>16</v>
      </c>
      <c r="G22" s="343">
        <v>757</v>
      </c>
      <c r="H22" s="122" t="s">
        <v>990</v>
      </c>
      <c r="I22" s="122">
        <v>243.86</v>
      </c>
      <c r="J22" s="262"/>
      <c r="K22" s="262"/>
    </row>
    <row r="23" spans="1:11" ht="14.25" customHeight="1">
      <c r="A23" s="351" t="s">
        <v>329</v>
      </c>
      <c r="B23" s="341">
        <v>10</v>
      </c>
      <c r="C23" s="343">
        <v>500</v>
      </c>
      <c r="D23" s="341">
        <v>0</v>
      </c>
      <c r="E23" s="343">
        <v>0</v>
      </c>
      <c r="F23" s="341">
        <v>10</v>
      </c>
      <c r="G23" s="343">
        <v>500</v>
      </c>
      <c r="H23" s="122" t="s">
        <v>991</v>
      </c>
      <c r="I23" s="122">
        <v>240</v>
      </c>
      <c r="J23" s="262"/>
      <c r="K23" s="262"/>
    </row>
    <row r="24" spans="1:11" ht="14.25" customHeight="1">
      <c r="A24" s="351" t="s">
        <v>67</v>
      </c>
      <c r="B24" s="341">
        <v>85</v>
      </c>
      <c r="C24" s="343">
        <v>4242.5</v>
      </c>
      <c r="D24" s="341">
        <v>30</v>
      </c>
      <c r="E24" s="343">
        <v>1497.6</v>
      </c>
      <c r="F24" s="341">
        <v>115</v>
      </c>
      <c r="G24" s="343">
        <v>5740.1</v>
      </c>
      <c r="H24" s="122" t="s">
        <v>992</v>
      </c>
      <c r="I24" s="122">
        <v>179.26</v>
      </c>
      <c r="J24" s="262"/>
      <c r="K24" s="262"/>
    </row>
    <row r="25" spans="1:11" ht="14.25" customHeight="1">
      <c r="A25" s="351" t="s">
        <v>69</v>
      </c>
      <c r="B25" s="341">
        <v>20</v>
      </c>
      <c r="C25" s="343">
        <v>997</v>
      </c>
      <c r="D25" s="341">
        <v>0</v>
      </c>
      <c r="E25" s="343">
        <v>0</v>
      </c>
      <c r="F25" s="341">
        <v>20</v>
      </c>
      <c r="G25" s="343">
        <v>997</v>
      </c>
      <c r="H25" s="122" t="s">
        <v>993</v>
      </c>
      <c r="I25" s="122">
        <v>209.5</v>
      </c>
      <c r="J25" s="262"/>
      <c r="K25" s="262"/>
    </row>
    <row r="26" spans="1:11" ht="14.25" customHeight="1">
      <c r="A26" s="351" t="s">
        <v>71</v>
      </c>
      <c r="B26" s="341">
        <v>310</v>
      </c>
      <c r="C26" s="343">
        <v>15471.5</v>
      </c>
      <c r="D26" s="341">
        <v>40</v>
      </c>
      <c r="E26" s="343">
        <v>1996.8</v>
      </c>
      <c r="F26" s="341">
        <v>350</v>
      </c>
      <c r="G26" s="343">
        <v>17468.3</v>
      </c>
      <c r="H26" s="122" t="s">
        <v>994</v>
      </c>
      <c r="I26" s="122">
        <v>155.73</v>
      </c>
      <c r="J26" s="262"/>
      <c r="K26" s="262"/>
    </row>
    <row r="27" spans="1:11" ht="14.25" customHeight="1">
      <c r="A27" s="351" t="s">
        <v>648</v>
      </c>
      <c r="B27" s="341">
        <v>15</v>
      </c>
      <c r="C27" s="343">
        <v>750</v>
      </c>
      <c r="D27" s="341">
        <v>0</v>
      </c>
      <c r="E27" s="343">
        <v>0</v>
      </c>
      <c r="F27" s="341">
        <v>15</v>
      </c>
      <c r="G27" s="343">
        <v>750</v>
      </c>
      <c r="H27" s="122">
        <v>86250</v>
      </c>
      <c r="I27" s="122">
        <v>115</v>
      </c>
      <c r="J27" s="262"/>
      <c r="K27" s="262"/>
    </row>
    <row r="28" spans="1:11" ht="14.25" customHeight="1">
      <c r="A28" s="351" t="s">
        <v>141</v>
      </c>
      <c r="B28" s="341">
        <v>20</v>
      </c>
      <c r="C28" s="343">
        <v>997</v>
      </c>
      <c r="D28" s="341">
        <v>30</v>
      </c>
      <c r="E28" s="343">
        <v>1497.6</v>
      </c>
      <c r="F28" s="341">
        <v>50</v>
      </c>
      <c r="G28" s="343">
        <v>2494.6</v>
      </c>
      <c r="H28" s="122" t="s">
        <v>995</v>
      </c>
      <c r="I28" s="122">
        <v>135</v>
      </c>
      <c r="J28" s="262"/>
      <c r="K28" s="262"/>
    </row>
    <row r="29" spans="1:11" ht="14.25" customHeight="1">
      <c r="A29" s="351" t="s">
        <v>75</v>
      </c>
      <c r="B29" s="341">
        <f>71+20</f>
        <v>91</v>
      </c>
      <c r="C29" s="343">
        <f>3499+997</f>
        <v>4496</v>
      </c>
      <c r="D29" s="341">
        <v>0</v>
      </c>
      <c r="E29" s="343">
        <v>0</v>
      </c>
      <c r="F29" s="341">
        <f>71+20</f>
        <v>91</v>
      </c>
      <c r="G29" s="343">
        <f>3499+997</f>
        <v>4496</v>
      </c>
      <c r="H29" s="122">
        <f>722825.5+99700</f>
        <v>822525.5</v>
      </c>
      <c r="I29" s="122">
        <f>H29/G29</f>
        <v>182.94606316725978</v>
      </c>
      <c r="J29" s="262"/>
      <c r="K29" s="262"/>
    </row>
    <row r="30" spans="1:11" ht="14.25" customHeight="1">
      <c r="A30" s="351" t="s">
        <v>79</v>
      </c>
      <c r="B30" s="341"/>
      <c r="C30" s="343">
        <v>0</v>
      </c>
      <c r="D30" s="341">
        <v>5</v>
      </c>
      <c r="E30" s="343">
        <v>249.5</v>
      </c>
      <c r="F30" s="341">
        <v>5</v>
      </c>
      <c r="G30" s="343">
        <v>249.5</v>
      </c>
      <c r="H30" s="122">
        <v>34680.5</v>
      </c>
      <c r="I30" s="122">
        <v>139</v>
      </c>
      <c r="J30" s="262"/>
      <c r="K30" s="262"/>
    </row>
    <row r="31" spans="1:11" ht="14.25" customHeight="1">
      <c r="A31" s="351" t="s">
        <v>144</v>
      </c>
      <c r="B31" s="341">
        <v>10</v>
      </c>
      <c r="C31" s="343">
        <v>500</v>
      </c>
      <c r="D31" s="341">
        <v>0</v>
      </c>
      <c r="E31" s="343">
        <v>0</v>
      </c>
      <c r="F31" s="341">
        <v>10</v>
      </c>
      <c r="G31" s="343">
        <v>500</v>
      </c>
      <c r="H31" s="122">
        <v>47500</v>
      </c>
      <c r="I31" s="122">
        <v>95</v>
      </c>
      <c r="J31" s="262"/>
      <c r="K31" s="262"/>
    </row>
    <row r="32" spans="1:11" ht="14.25" customHeight="1">
      <c r="A32" s="351" t="s">
        <v>221</v>
      </c>
      <c r="B32" s="341"/>
      <c r="C32" s="343">
        <v>0</v>
      </c>
      <c r="D32" s="341">
        <v>10</v>
      </c>
      <c r="E32" s="343">
        <v>499.2</v>
      </c>
      <c r="F32" s="341">
        <v>10</v>
      </c>
      <c r="G32" s="343">
        <v>499.2</v>
      </c>
      <c r="H32" s="122">
        <v>83366.4</v>
      </c>
      <c r="I32" s="122">
        <v>167</v>
      </c>
      <c r="J32" s="262"/>
      <c r="K32" s="262"/>
    </row>
    <row r="33" spans="1:11" ht="14.25" customHeight="1">
      <c r="A33" s="351" t="s">
        <v>146</v>
      </c>
      <c r="B33" s="341">
        <v>36</v>
      </c>
      <c r="C33" s="343">
        <v>1752.5</v>
      </c>
      <c r="D33" s="341">
        <v>0</v>
      </c>
      <c r="E33" s="343">
        <v>0</v>
      </c>
      <c r="F33" s="341">
        <v>36</v>
      </c>
      <c r="G33" s="343">
        <v>1752.5</v>
      </c>
      <c r="H33" s="122" t="s">
        <v>996</v>
      </c>
      <c r="I33" s="122">
        <v>188</v>
      </c>
      <c r="J33" s="262"/>
      <c r="K33" s="262"/>
    </row>
    <row r="34" spans="1:11" ht="14.25" customHeight="1">
      <c r="A34" s="351" t="s">
        <v>81</v>
      </c>
      <c r="B34" s="341">
        <v>20</v>
      </c>
      <c r="C34" s="343">
        <v>998.5</v>
      </c>
      <c r="D34" s="341">
        <v>0</v>
      </c>
      <c r="E34" s="343">
        <v>0</v>
      </c>
      <c r="F34" s="341">
        <v>20</v>
      </c>
      <c r="G34" s="343">
        <v>998.5</v>
      </c>
      <c r="H34" s="122" t="s">
        <v>997</v>
      </c>
      <c r="I34" s="122">
        <v>103</v>
      </c>
      <c r="J34" s="262"/>
      <c r="K34" s="262"/>
    </row>
    <row r="35" spans="1:11" ht="14.25" customHeight="1">
      <c r="A35" s="351" t="s">
        <v>83</v>
      </c>
      <c r="B35" s="341">
        <v>160</v>
      </c>
      <c r="C35" s="343">
        <v>7983.5</v>
      </c>
      <c r="D35" s="341">
        <v>30</v>
      </c>
      <c r="E35" s="343">
        <v>1496.9</v>
      </c>
      <c r="F35" s="341">
        <v>190</v>
      </c>
      <c r="G35" s="343">
        <v>9480.4</v>
      </c>
      <c r="H35" s="122" t="s">
        <v>998</v>
      </c>
      <c r="I35" s="122">
        <v>160.61</v>
      </c>
      <c r="J35" s="262"/>
      <c r="K35" s="262"/>
    </row>
    <row r="36" spans="1:11" ht="14.25" customHeight="1">
      <c r="A36" s="351" t="s">
        <v>87</v>
      </c>
      <c r="B36" s="341">
        <v>10</v>
      </c>
      <c r="C36" s="343">
        <v>495.5</v>
      </c>
      <c r="D36" s="341">
        <v>0</v>
      </c>
      <c r="E36" s="343">
        <v>0</v>
      </c>
      <c r="F36" s="341">
        <v>10</v>
      </c>
      <c r="G36" s="343">
        <v>495.5</v>
      </c>
      <c r="H36" s="122">
        <v>48063.5</v>
      </c>
      <c r="I36" s="122">
        <v>97</v>
      </c>
      <c r="J36" s="262"/>
      <c r="K36" s="262"/>
    </row>
    <row r="37" spans="1:11" ht="14.25" customHeight="1">
      <c r="A37" s="351" t="s">
        <v>150</v>
      </c>
      <c r="B37" s="341">
        <v>20</v>
      </c>
      <c r="C37" s="343">
        <v>998.5</v>
      </c>
      <c r="D37" s="341">
        <v>20</v>
      </c>
      <c r="E37" s="343">
        <v>998.4</v>
      </c>
      <c r="F37" s="341">
        <v>40</v>
      </c>
      <c r="G37" s="343">
        <v>1996.9</v>
      </c>
      <c r="H37" s="122" t="s">
        <v>999</v>
      </c>
      <c r="I37" s="122">
        <v>216.25</v>
      </c>
      <c r="J37" s="262"/>
      <c r="K37" s="262"/>
    </row>
    <row r="38" spans="1:11" ht="14.25" customHeight="1">
      <c r="A38" s="351" t="s">
        <v>185</v>
      </c>
      <c r="B38" s="341">
        <v>20</v>
      </c>
      <c r="C38" s="343">
        <v>998.5</v>
      </c>
      <c r="D38" s="341">
        <v>0</v>
      </c>
      <c r="E38" s="343">
        <v>0</v>
      </c>
      <c r="F38" s="341">
        <v>20</v>
      </c>
      <c r="G38" s="343">
        <v>998.5</v>
      </c>
      <c r="H38" s="122" t="s">
        <v>1000</v>
      </c>
      <c r="I38" s="122">
        <v>164.53</v>
      </c>
      <c r="J38" s="262"/>
      <c r="K38" s="262"/>
    </row>
    <row r="39" spans="1:11" ht="14.25" customHeight="1">
      <c r="A39" s="351" t="s">
        <v>92</v>
      </c>
      <c r="B39" s="341">
        <v>10</v>
      </c>
      <c r="C39" s="343">
        <v>498.5</v>
      </c>
      <c r="D39" s="341">
        <v>20</v>
      </c>
      <c r="E39" s="343">
        <v>998.2</v>
      </c>
      <c r="F39" s="341">
        <v>30</v>
      </c>
      <c r="G39" s="343">
        <v>1496.7</v>
      </c>
      <c r="H39" s="122" t="s">
        <v>1001</v>
      </c>
      <c r="I39" s="122">
        <v>203</v>
      </c>
      <c r="J39" s="262"/>
      <c r="K39" s="262"/>
    </row>
    <row r="40" spans="1:11" ht="14.25" customHeight="1">
      <c r="A40" s="351" t="s">
        <v>229</v>
      </c>
      <c r="B40" s="341">
        <v>10</v>
      </c>
      <c r="C40" s="343">
        <v>497</v>
      </c>
      <c r="D40" s="341">
        <v>0</v>
      </c>
      <c r="E40" s="343">
        <v>0</v>
      </c>
      <c r="F40" s="341">
        <v>10</v>
      </c>
      <c r="G40" s="343">
        <v>497</v>
      </c>
      <c r="H40" s="122">
        <v>49700</v>
      </c>
      <c r="I40" s="122">
        <v>100</v>
      </c>
      <c r="J40" s="262"/>
      <c r="K40" s="262"/>
    </row>
    <row r="41" spans="1:11" ht="14.25" customHeight="1">
      <c r="A41" s="351" t="s">
        <v>94</v>
      </c>
      <c r="B41" s="341"/>
      <c r="C41" s="343">
        <v>0</v>
      </c>
      <c r="D41" s="341">
        <v>35</v>
      </c>
      <c r="E41" s="343">
        <v>1747.1</v>
      </c>
      <c r="F41" s="341">
        <v>35</v>
      </c>
      <c r="G41" s="343">
        <v>1747.1</v>
      </c>
      <c r="H41" s="122" t="s">
        <v>1002</v>
      </c>
      <c r="I41" s="122">
        <v>186.57</v>
      </c>
      <c r="J41" s="262"/>
      <c r="K41" s="262"/>
    </row>
    <row r="42" spans="1:11" ht="14.25" customHeight="1">
      <c r="A42" s="351" t="s">
        <v>99</v>
      </c>
      <c r="B42" s="341"/>
      <c r="C42" s="343">
        <v>0</v>
      </c>
      <c r="D42" s="341">
        <v>20</v>
      </c>
      <c r="E42" s="343">
        <v>998.4</v>
      </c>
      <c r="F42" s="341">
        <v>20</v>
      </c>
      <c r="G42" s="343">
        <v>998.4</v>
      </c>
      <c r="H42" s="122" t="s">
        <v>1003</v>
      </c>
      <c r="I42" s="122">
        <v>222.5</v>
      </c>
      <c r="J42" s="262"/>
      <c r="K42" s="262"/>
    </row>
    <row r="43" spans="1:11" ht="14.25" customHeight="1">
      <c r="A43" s="351" t="s">
        <v>552</v>
      </c>
      <c r="B43" s="341">
        <v>25</v>
      </c>
      <c r="C43" s="343">
        <v>1250</v>
      </c>
      <c r="D43" s="341">
        <v>0</v>
      </c>
      <c r="E43" s="343">
        <v>0</v>
      </c>
      <c r="F43" s="341">
        <v>25</v>
      </c>
      <c r="G43" s="343">
        <v>1250</v>
      </c>
      <c r="H43" s="122" t="s">
        <v>1004</v>
      </c>
      <c r="I43" s="122">
        <v>184.4</v>
      </c>
      <c r="J43" s="262"/>
      <c r="K43" s="262"/>
    </row>
    <row r="44" spans="1:11" ht="14.25" customHeight="1">
      <c r="A44" s="351" t="s">
        <v>578</v>
      </c>
      <c r="B44" s="341">
        <v>40</v>
      </c>
      <c r="C44" s="343">
        <v>1994</v>
      </c>
      <c r="D44" s="341">
        <v>0</v>
      </c>
      <c r="E44" s="343">
        <v>0</v>
      </c>
      <c r="F44" s="341">
        <v>40</v>
      </c>
      <c r="G44" s="343">
        <v>1994</v>
      </c>
      <c r="H44" s="122" t="s">
        <v>1005</v>
      </c>
      <c r="I44" s="122">
        <v>155</v>
      </c>
      <c r="J44" s="262"/>
      <c r="K44" s="262"/>
    </row>
    <row r="45" spans="1:11" ht="14.25" customHeight="1">
      <c r="A45" s="351" t="s">
        <v>194</v>
      </c>
      <c r="B45" s="341">
        <v>15</v>
      </c>
      <c r="C45" s="343">
        <v>747</v>
      </c>
      <c r="D45" s="341">
        <v>0</v>
      </c>
      <c r="E45" s="343">
        <v>0</v>
      </c>
      <c r="F45" s="341">
        <v>15</v>
      </c>
      <c r="G45" s="343">
        <v>747</v>
      </c>
      <c r="H45" s="122" t="s">
        <v>1006</v>
      </c>
      <c r="I45" s="122">
        <v>159.92</v>
      </c>
      <c r="J45" s="262"/>
      <c r="K45" s="262"/>
    </row>
    <row r="46" spans="1:11" ht="14.25" customHeight="1">
      <c r="A46" s="351" t="s">
        <v>14</v>
      </c>
      <c r="B46" s="341">
        <v>1503</v>
      </c>
      <c r="C46" s="343">
        <v>74872.5</v>
      </c>
      <c r="D46" s="341">
        <v>255</v>
      </c>
      <c r="E46" s="343">
        <v>12726.9</v>
      </c>
      <c r="F46" s="341">
        <v>1758</v>
      </c>
      <c r="G46" s="343">
        <v>87599.4</v>
      </c>
      <c r="H46" s="122" t="s">
        <v>1007</v>
      </c>
      <c r="I46" s="122">
        <v>168.76</v>
      </c>
      <c r="J46" s="262"/>
      <c r="K46" s="262"/>
    </row>
    <row r="47" spans="1:11" ht="14.25" customHeight="1">
      <c r="A47" s="344"/>
      <c r="B47" s="345"/>
      <c r="C47" s="346"/>
      <c r="D47" s="345"/>
      <c r="E47" s="346"/>
      <c r="F47" s="345"/>
      <c r="G47" s="346"/>
      <c r="H47" s="347"/>
      <c r="I47" s="347"/>
      <c r="J47" s="262"/>
      <c r="K47" s="262"/>
    </row>
    <row r="48" spans="1:10" ht="14.25" customHeight="1">
      <c r="A48" s="344"/>
      <c r="B48" s="355"/>
      <c r="C48" s="342"/>
      <c r="D48" s="355"/>
      <c r="E48" s="117"/>
      <c r="F48" s="356"/>
      <c r="G48" s="342" t="s">
        <v>119</v>
      </c>
      <c r="H48" s="118"/>
      <c r="I48" s="118"/>
      <c r="J48" s="1"/>
    </row>
    <row r="49" spans="1:10" ht="14.25" customHeight="1">
      <c r="A49" s="344"/>
      <c r="B49" s="355"/>
      <c r="C49" s="342"/>
      <c r="D49" s="355"/>
      <c r="E49" s="114"/>
      <c r="F49" s="117"/>
      <c r="G49" s="359" t="s">
        <v>121</v>
      </c>
      <c r="H49" s="118"/>
      <c r="I49" s="118"/>
      <c r="J49" s="1"/>
    </row>
    <row r="50" spans="1:9" ht="14.25" customHeight="1">
      <c r="A50" s="344"/>
      <c r="B50" s="355"/>
      <c r="C50" s="342"/>
      <c r="D50" s="355"/>
      <c r="E50" s="117"/>
      <c r="F50" s="355"/>
      <c r="G50" s="342"/>
      <c r="H50" s="118"/>
      <c r="I50" s="118"/>
    </row>
    <row r="51" spans="1:9" ht="14.25" customHeight="1">
      <c r="A51" s="329" t="s">
        <v>117</v>
      </c>
      <c r="B51" s="355"/>
      <c r="C51" s="342"/>
      <c r="D51" s="355"/>
      <c r="E51" s="117"/>
      <c r="F51" s="355"/>
      <c r="G51" s="342"/>
      <c r="H51" s="118"/>
      <c r="I51" s="118"/>
    </row>
    <row r="52" spans="1:9" ht="14.25" customHeight="1">
      <c r="A52" s="329" t="s">
        <v>118</v>
      </c>
      <c r="B52" s="355"/>
      <c r="C52" s="342"/>
      <c r="D52" s="355"/>
      <c r="E52" s="117"/>
      <c r="F52" s="355"/>
      <c r="G52" s="342"/>
      <c r="H52" s="118"/>
      <c r="I52" s="118"/>
    </row>
    <row r="53" spans="1:9" ht="14.25" customHeight="1">
      <c r="A53" s="329" t="s">
        <v>120</v>
      </c>
      <c r="B53" s="355"/>
      <c r="C53" s="342"/>
      <c r="D53" s="355"/>
      <c r="E53" s="117"/>
      <c r="F53" s="355"/>
      <c r="G53" s="342"/>
      <c r="H53" s="118"/>
      <c r="I53" s="118"/>
    </row>
    <row r="54" spans="1:9" ht="14.25" customHeight="1">
      <c r="A54" s="329" t="s">
        <v>122</v>
      </c>
      <c r="B54" s="355"/>
      <c r="C54" s="342"/>
      <c r="D54" s="355"/>
      <c r="E54" s="117"/>
      <c r="F54" s="355"/>
      <c r="G54" s="342"/>
      <c r="H54" s="118"/>
      <c r="I54" s="118"/>
    </row>
    <row r="55" spans="1:9" ht="14.25" customHeight="1">
      <c r="A55" s="329" t="s">
        <v>123</v>
      </c>
      <c r="B55" s="355"/>
      <c r="C55" s="342"/>
      <c r="D55" s="355"/>
      <c r="E55" s="117"/>
      <c r="F55" s="355"/>
      <c r="G55" s="342"/>
      <c r="H55" s="118"/>
      <c r="I55" s="118"/>
    </row>
    <row r="56" spans="1:9" ht="14.25" customHeight="1">
      <c r="A56" s="114"/>
      <c r="B56" s="355"/>
      <c r="C56" s="342"/>
      <c r="D56" s="355"/>
      <c r="E56" s="117"/>
      <c r="F56" s="355"/>
      <c r="G56" s="342"/>
      <c r="H56" s="118"/>
      <c r="I56" s="118"/>
    </row>
  </sheetData>
  <sheetProtection/>
  <printOptions/>
  <pageMargins left="0.7" right="0.7" top="0.58" bottom="0.5" header="0.3" footer="0.3"/>
  <pageSetup horizontalDpi="600" verticalDpi="600" orientation="portrait" paperSize="9" scale="85" r:id="rId1"/>
  <headerFooter>
    <oddHeader>&amp;RProduce Brokers Limited
1349/A, North Agrabad, D.T. Road Askarabad (1st floor)
Chattogram-4224
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27.7109375" style="373" customWidth="1"/>
    <col min="2" max="2" width="7.140625" style="31" customWidth="1"/>
    <col min="3" max="3" width="10.28125" style="360" customWidth="1"/>
    <col min="4" max="4" width="6.28125" style="31" customWidth="1"/>
    <col min="5" max="5" width="9.421875" style="244" customWidth="1"/>
    <col min="6" max="6" width="6.421875" style="31" customWidth="1"/>
    <col min="7" max="7" width="10.00390625" style="360" customWidth="1"/>
    <col min="8" max="8" width="14.8515625" style="48" customWidth="1"/>
    <col min="9" max="9" width="9.28125" style="48" customWidth="1"/>
    <col min="10" max="15" width="8.8515625" style="373" customWidth="1"/>
    <col min="16" max="16" width="12.7109375" style="373" bestFit="1" customWidth="1"/>
    <col min="17" max="16384" width="9.140625" style="373" customWidth="1"/>
  </cols>
  <sheetData>
    <row r="1" spans="1:11" ht="14.25" customHeight="1">
      <c r="A1" s="329" t="s">
        <v>973</v>
      </c>
      <c r="B1" s="330"/>
      <c r="C1" s="331"/>
      <c r="D1" s="330"/>
      <c r="E1" s="332"/>
      <c r="F1" s="330"/>
      <c r="G1" s="331"/>
      <c r="H1" s="333"/>
      <c r="I1" s="333"/>
      <c r="J1" s="262"/>
      <c r="K1" s="262"/>
    </row>
    <row r="2" spans="1:11" ht="14.25" customHeight="1">
      <c r="A2" s="329" t="s">
        <v>941</v>
      </c>
      <c r="B2" s="330"/>
      <c r="C2" s="331"/>
      <c r="D2" s="330"/>
      <c r="E2" s="332"/>
      <c r="F2" s="330"/>
      <c r="G2" s="331"/>
      <c r="H2" s="333"/>
      <c r="I2" s="333"/>
      <c r="J2" s="262"/>
      <c r="K2" s="262"/>
    </row>
    <row r="3" spans="1:11" ht="14.25" customHeight="1">
      <c r="A3" s="329" t="s">
        <v>110</v>
      </c>
      <c r="B3" s="330"/>
      <c r="C3" s="331"/>
      <c r="D3" s="330"/>
      <c r="E3" s="332"/>
      <c r="F3" s="330"/>
      <c r="G3" s="331"/>
      <c r="H3" s="333"/>
      <c r="I3" s="333"/>
      <c r="J3" s="262"/>
      <c r="K3" s="262"/>
    </row>
    <row r="4" spans="1:11" ht="14.25" customHeight="1">
      <c r="A4" s="329" t="s">
        <v>5</v>
      </c>
      <c r="B4" s="330"/>
      <c r="C4" s="331"/>
      <c r="D4" s="330"/>
      <c r="E4" s="332"/>
      <c r="F4" s="330"/>
      <c r="G4" s="331"/>
      <c r="H4" s="333"/>
      <c r="I4" s="333"/>
      <c r="J4" s="262"/>
      <c r="K4" s="262"/>
    </row>
    <row r="5" spans="1:11" ht="14.25" customHeight="1">
      <c r="A5" s="329" t="s">
        <v>6</v>
      </c>
      <c r="B5" s="330"/>
      <c r="C5" s="331"/>
      <c r="D5" s="330"/>
      <c r="E5" s="334"/>
      <c r="F5" s="330"/>
      <c r="G5" s="331"/>
      <c r="H5" s="333"/>
      <c r="I5" s="333"/>
      <c r="J5" s="262"/>
      <c r="K5" s="262"/>
    </row>
    <row r="6" spans="1:11" ht="14.25" customHeight="1">
      <c r="A6" s="329" t="s">
        <v>111</v>
      </c>
      <c r="B6" s="330"/>
      <c r="C6" s="331"/>
      <c r="D6" s="330"/>
      <c r="E6" s="332"/>
      <c r="F6" s="330"/>
      <c r="G6" s="331"/>
      <c r="H6" s="333"/>
      <c r="I6" s="333"/>
      <c r="J6" s="262"/>
      <c r="K6" s="262"/>
    </row>
    <row r="7" spans="1:11" ht="14.25" customHeight="1">
      <c r="A7" s="329" t="s">
        <v>112</v>
      </c>
      <c r="B7" s="330"/>
      <c r="C7" s="331"/>
      <c r="D7" s="330"/>
      <c r="E7" s="335" t="s">
        <v>113</v>
      </c>
      <c r="F7" s="330"/>
      <c r="G7" s="331"/>
      <c r="H7" s="333"/>
      <c r="I7" s="333"/>
      <c r="J7" s="262"/>
      <c r="K7" s="262"/>
    </row>
    <row r="8" spans="1:11" ht="14.25" customHeight="1">
      <c r="A8" s="336" t="s">
        <v>974</v>
      </c>
      <c r="B8" s="337"/>
      <c r="C8" s="338"/>
      <c r="D8" s="337"/>
      <c r="E8" s="339"/>
      <c r="F8" s="337"/>
      <c r="G8" s="338"/>
      <c r="H8" s="340"/>
      <c r="I8" s="340"/>
      <c r="J8" s="262"/>
      <c r="K8" s="262"/>
    </row>
    <row r="9" spans="1:11" ht="14.25" customHeight="1">
      <c r="A9" s="114"/>
      <c r="B9" s="341" t="s">
        <v>45</v>
      </c>
      <c r="C9" s="342"/>
      <c r="D9" s="341" t="s">
        <v>46</v>
      </c>
      <c r="E9" s="342"/>
      <c r="F9" s="341"/>
      <c r="G9" s="343" t="s">
        <v>47</v>
      </c>
      <c r="H9" s="118"/>
      <c r="I9" s="118"/>
      <c r="J9" s="262"/>
      <c r="K9" s="262"/>
    </row>
    <row r="10" spans="1:11" ht="14.25" customHeight="1">
      <c r="A10" s="344" t="s">
        <v>461</v>
      </c>
      <c r="B10" s="345" t="s">
        <v>49</v>
      </c>
      <c r="C10" s="346" t="s">
        <v>50</v>
      </c>
      <c r="D10" s="345" t="s">
        <v>49</v>
      </c>
      <c r="E10" s="346" t="s">
        <v>50</v>
      </c>
      <c r="F10" s="345" t="s">
        <v>49</v>
      </c>
      <c r="G10" s="346" t="s">
        <v>50</v>
      </c>
      <c r="H10" s="347" t="s">
        <v>51</v>
      </c>
      <c r="I10" s="347" t="s">
        <v>52</v>
      </c>
      <c r="J10" s="262"/>
      <c r="K10" s="262"/>
    </row>
    <row r="11" spans="1:11" ht="14.25" customHeight="1">
      <c r="A11" s="119" t="s">
        <v>466</v>
      </c>
      <c r="B11" s="348"/>
      <c r="C11" s="343">
        <v>0</v>
      </c>
      <c r="D11" s="115"/>
      <c r="E11" s="121"/>
      <c r="F11" s="115"/>
      <c r="G11" s="343"/>
      <c r="H11" s="122"/>
      <c r="I11" s="350"/>
      <c r="J11" s="262"/>
      <c r="K11" s="262"/>
    </row>
    <row r="12" spans="1:11" ht="14.25" customHeight="1">
      <c r="A12" s="114" t="s">
        <v>14</v>
      </c>
      <c r="B12" s="122">
        <f aca="true" t="shared" si="0" ref="B12:H12">SUM(B11)</f>
        <v>0</v>
      </c>
      <c r="C12" s="343">
        <f t="shared" si="0"/>
        <v>0</v>
      </c>
      <c r="D12" s="341">
        <f t="shared" si="0"/>
        <v>0</v>
      </c>
      <c r="E12" s="343">
        <f t="shared" si="0"/>
        <v>0</v>
      </c>
      <c r="F12" s="341">
        <f t="shared" si="0"/>
        <v>0</v>
      </c>
      <c r="G12" s="343">
        <f t="shared" si="0"/>
        <v>0</v>
      </c>
      <c r="H12" s="122">
        <f t="shared" si="0"/>
        <v>0</v>
      </c>
      <c r="I12" s="122" t="e">
        <f>H12/G12</f>
        <v>#DIV/0!</v>
      </c>
      <c r="J12" s="262"/>
      <c r="K12" s="262"/>
    </row>
    <row r="13" spans="1:11" ht="14.25" customHeight="1">
      <c r="A13" s="344" t="s">
        <v>462</v>
      </c>
      <c r="B13" s="345" t="s">
        <v>49</v>
      </c>
      <c r="C13" s="346" t="s">
        <v>50</v>
      </c>
      <c r="D13" s="345" t="s">
        <v>49</v>
      </c>
      <c r="E13" s="346" t="s">
        <v>50</v>
      </c>
      <c r="F13" s="345" t="s">
        <v>49</v>
      </c>
      <c r="G13" s="346" t="s">
        <v>50</v>
      </c>
      <c r="H13" s="347" t="s">
        <v>51</v>
      </c>
      <c r="I13" s="347" t="s">
        <v>52</v>
      </c>
      <c r="J13" s="262"/>
      <c r="K13" s="262"/>
    </row>
    <row r="14" spans="1:11" ht="14.25" customHeight="1">
      <c r="A14" s="119" t="s">
        <v>53</v>
      </c>
      <c r="B14" s="362">
        <v>40</v>
      </c>
      <c r="C14" s="349">
        <v>1997</v>
      </c>
      <c r="D14" s="362">
        <v>0</v>
      </c>
      <c r="E14" s="379">
        <v>0</v>
      </c>
      <c r="F14" s="362">
        <v>40</v>
      </c>
      <c r="G14" s="121">
        <v>1997</v>
      </c>
      <c r="H14" s="122" t="s">
        <v>975</v>
      </c>
      <c r="I14" s="122">
        <v>178.78</v>
      </c>
      <c r="J14" s="262"/>
      <c r="K14" s="262"/>
    </row>
    <row r="15" spans="1:11" ht="14.25" customHeight="1">
      <c r="A15" s="119" t="s">
        <v>55</v>
      </c>
      <c r="B15" s="362">
        <v>10</v>
      </c>
      <c r="C15" s="349">
        <v>497</v>
      </c>
      <c r="D15" s="362">
        <v>0</v>
      </c>
      <c r="E15" s="379">
        <v>0</v>
      </c>
      <c r="F15" s="362">
        <v>10</v>
      </c>
      <c r="G15" s="121">
        <v>497</v>
      </c>
      <c r="H15" s="122">
        <v>95424</v>
      </c>
      <c r="I15" s="122">
        <v>192</v>
      </c>
      <c r="J15" s="262"/>
      <c r="K15" s="262"/>
    </row>
    <row r="16" spans="1:11" ht="14.25" customHeight="1">
      <c r="A16" s="119" t="s">
        <v>61</v>
      </c>
      <c r="B16" s="362">
        <v>20</v>
      </c>
      <c r="C16" s="349">
        <v>1000</v>
      </c>
      <c r="D16" s="362">
        <v>0</v>
      </c>
      <c r="E16" s="379">
        <v>0</v>
      </c>
      <c r="F16" s="362">
        <v>20</v>
      </c>
      <c r="G16" s="121">
        <v>1000</v>
      </c>
      <c r="H16" s="122" t="s">
        <v>976</v>
      </c>
      <c r="I16" s="122">
        <v>232.5</v>
      </c>
      <c r="J16" s="262"/>
      <c r="K16" s="262"/>
    </row>
    <row r="17" spans="1:11" ht="14.25" customHeight="1">
      <c r="A17" s="119" t="s">
        <v>63</v>
      </c>
      <c r="B17" s="362">
        <v>45</v>
      </c>
      <c r="C17" s="349">
        <v>2248.5</v>
      </c>
      <c r="D17" s="362">
        <v>0</v>
      </c>
      <c r="E17" s="379">
        <v>0</v>
      </c>
      <c r="F17" s="362">
        <v>45</v>
      </c>
      <c r="G17" s="121">
        <v>2248.5</v>
      </c>
      <c r="H17" s="122" t="s">
        <v>977</v>
      </c>
      <c r="I17" s="122">
        <v>216.43</v>
      </c>
      <c r="J17" s="262"/>
      <c r="K17" s="262"/>
    </row>
    <row r="18" spans="1:11" ht="14.25" customHeight="1">
      <c r="A18" s="119" t="s">
        <v>71</v>
      </c>
      <c r="B18" s="362">
        <v>105</v>
      </c>
      <c r="C18" s="349">
        <v>5241</v>
      </c>
      <c r="D18" s="362">
        <v>0</v>
      </c>
      <c r="E18" s="379">
        <v>0</v>
      </c>
      <c r="F18" s="362">
        <v>105</v>
      </c>
      <c r="G18" s="121">
        <v>5241</v>
      </c>
      <c r="H18" s="122" t="s">
        <v>978</v>
      </c>
      <c r="I18" s="122">
        <v>168.66</v>
      </c>
      <c r="J18" s="262"/>
      <c r="K18" s="262"/>
    </row>
    <row r="19" spans="1:11" ht="14.25" customHeight="1">
      <c r="A19" s="119" t="s">
        <v>648</v>
      </c>
      <c r="B19" s="362">
        <v>20</v>
      </c>
      <c r="C19" s="349">
        <v>997</v>
      </c>
      <c r="D19" s="362">
        <v>0</v>
      </c>
      <c r="E19" s="379">
        <v>0</v>
      </c>
      <c r="F19" s="362">
        <v>20</v>
      </c>
      <c r="G19" s="121">
        <v>997</v>
      </c>
      <c r="H19" s="122" t="s">
        <v>979</v>
      </c>
      <c r="I19" s="122">
        <v>226.5</v>
      </c>
      <c r="J19" s="262"/>
      <c r="K19" s="262"/>
    </row>
    <row r="20" spans="1:11" ht="14.25" customHeight="1">
      <c r="A20" s="119" t="s">
        <v>83</v>
      </c>
      <c r="B20" s="362">
        <v>40</v>
      </c>
      <c r="C20" s="349">
        <v>1995.5</v>
      </c>
      <c r="D20" s="362">
        <v>0</v>
      </c>
      <c r="E20" s="379">
        <v>0</v>
      </c>
      <c r="F20" s="362">
        <v>40</v>
      </c>
      <c r="G20" s="121">
        <v>1995.5</v>
      </c>
      <c r="H20" s="122" t="s">
        <v>980</v>
      </c>
      <c r="I20" s="122">
        <v>159.75</v>
      </c>
      <c r="J20" s="262"/>
      <c r="K20" s="262"/>
    </row>
    <row r="21" spans="1:11" ht="14.25" customHeight="1">
      <c r="A21" s="119" t="s">
        <v>87</v>
      </c>
      <c r="B21" s="362">
        <v>30</v>
      </c>
      <c r="C21" s="349">
        <v>1495.5</v>
      </c>
      <c r="D21" s="362">
        <v>0</v>
      </c>
      <c r="E21" s="379">
        <v>0</v>
      </c>
      <c r="F21" s="362">
        <v>30</v>
      </c>
      <c r="G21" s="121">
        <v>1495.5</v>
      </c>
      <c r="H21" s="122" t="s">
        <v>981</v>
      </c>
      <c r="I21" s="122">
        <v>209.99</v>
      </c>
      <c r="J21" s="262"/>
      <c r="K21" s="262"/>
    </row>
    <row r="22" spans="1:11" ht="14.25" customHeight="1">
      <c r="A22" s="119" t="s">
        <v>155</v>
      </c>
      <c r="B22" s="362">
        <v>10</v>
      </c>
      <c r="C22" s="349">
        <v>498.5</v>
      </c>
      <c r="D22" s="362">
        <v>0</v>
      </c>
      <c r="E22" s="379">
        <v>0</v>
      </c>
      <c r="F22" s="362">
        <v>10</v>
      </c>
      <c r="G22" s="121">
        <v>498.5</v>
      </c>
      <c r="H22" s="122" t="s">
        <v>932</v>
      </c>
      <c r="I22" s="122">
        <v>217</v>
      </c>
      <c r="J22" s="262"/>
      <c r="K22" s="262"/>
    </row>
    <row r="23" spans="1:11" ht="14.25" customHeight="1">
      <c r="A23" s="119" t="s">
        <v>14</v>
      </c>
      <c r="B23" s="362">
        <v>320</v>
      </c>
      <c r="C23" s="349">
        <v>15970</v>
      </c>
      <c r="D23" s="362">
        <v>0</v>
      </c>
      <c r="E23" s="379">
        <v>0</v>
      </c>
      <c r="F23" s="362">
        <v>320</v>
      </c>
      <c r="G23" s="121">
        <v>15970</v>
      </c>
      <c r="H23" s="122" t="s">
        <v>982</v>
      </c>
      <c r="I23" s="122">
        <v>189.25</v>
      </c>
      <c r="J23" s="262"/>
      <c r="K23" s="262"/>
    </row>
    <row r="24" spans="1:16" ht="14.25" customHeight="1">
      <c r="A24" s="119"/>
      <c r="B24" s="363"/>
      <c r="C24" s="363"/>
      <c r="D24" s="363"/>
      <c r="E24" s="363"/>
      <c r="F24" s="363"/>
      <c r="G24" s="363"/>
      <c r="H24" s="363"/>
      <c r="I24" s="363"/>
      <c r="J24" s="262"/>
      <c r="K24" s="262"/>
      <c r="P24" s="375"/>
    </row>
    <row r="25" spans="1:10" ht="14.25" customHeight="1">
      <c r="A25" s="344"/>
      <c r="B25" s="355"/>
      <c r="C25" s="342"/>
      <c r="D25" s="355"/>
      <c r="E25" s="117"/>
      <c r="F25" s="356"/>
      <c r="G25" s="342" t="s">
        <v>119</v>
      </c>
      <c r="H25" s="118"/>
      <c r="I25" s="118"/>
      <c r="J25" s="1"/>
    </row>
    <row r="26" spans="1:10" ht="14.25" customHeight="1">
      <c r="A26" s="344"/>
      <c r="B26" s="355"/>
      <c r="C26" s="342"/>
      <c r="D26" s="355"/>
      <c r="E26" s="114"/>
      <c r="F26" s="117"/>
      <c r="G26" s="359" t="s">
        <v>121</v>
      </c>
      <c r="H26" s="118"/>
      <c r="I26" s="118"/>
      <c r="J26" s="1"/>
    </row>
    <row r="27" spans="1:9" ht="14.25" customHeight="1">
      <c r="A27" s="344"/>
      <c r="B27" s="355"/>
      <c r="C27" s="342"/>
      <c r="D27" s="355"/>
      <c r="E27" s="117"/>
      <c r="F27" s="355"/>
      <c r="G27" s="342"/>
      <c r="H27" s="118"/>
      <c r="I27" s="118"/>
    </row>
    <row r="28" spans="1:9" ht="14.25" customHeight="1">
      <c r="A28" s="329" t="s">
        <v>117</v>
      </c>
      <c r="B28" s="355"/>
      <c r="C28" s="342"/>
      <c r="D28" s="355"/>
      <c r="E28" s="117"/>
      <c r="F28" s="355"/>
      <c r="G28" s="342"/>
      <c r="H28" s="118"/>
      <c r="I28" s="118"/>
    </row>
    <row r="29" spans="1:9" ht="14.25" customHeight="1">
      <c r="A29" s="329" t="s">
        <v>118</v>
      </c>
      <c r="B29" s="355"/>
      <c r="C29" s="342"/>
      <c r="D29" s="355"/>
      <c r="E29" s="117"/>
      <c r="F29" s="355"/>
      <c r="G29" s="342"/>
      <c r="H29" s="118"/>
      <c r="I29" s="118"/>
    </row>
    <row r="30" spans="1:9" ht="14.25" customHeight="1">
      <c r="A30" s="329" t="s">
        <v>120</v>
      </c>
      <c r="B30" s="355"/>
      <c r="C30" s="342"/>
      <c r="D30" s="355"/>
      <c r="E30" s="117"/>
      <c r="F30" s="355"/>
      <c r="G30" s="342"/>
      <c r="H30" s="118"/>
      <c r="I30" s="118"/>
    </row>
    <row r="31" spans="1:9" ht="14.25" customHeight="1">
      <c r="A31" s="329" t="s">
        <v>122</v>
      </c>
      <c r="B31" s="355"/>
      <c r="C31" s="342"/>
      <c r="D31" s="355"/>
      <c r="E31" s="117"/>
      <c r="F31" s="355"/>
      <c r="G31" s="342"/>
      <c r="H31" s="118"/>
      <c r="I31" s="118"/>
    </row>
    <row r="32" spans="1:9" ht="14.25" customHeight="1">
      <c r="A32" s="329" t="s">
        <v>123</v>
      </c>
      <c r="B32" s="355"/>
      <c r="C32" s="342"/>
      <c r="D32" s="355"/>
      <c r="E32" s="117"/>
      <c r="F32" s="355"/>
      <c r="G32" s="342"/>
      <c r="H32" s="118"/>
      <c r="I32" s="118"/>
    </row>
    <row r="33" spans="1:9" ht="14.25" customHeight="1">
      <c r="A33" s="114"/>
      <c r="B33" s="355"/>
      <c r="C33" s="342"/>
      <c r="D33" s="355"/>
      <c r="E33" s="117"/>
      <c r="F33" s="355"/>
      <c r="G33" s="342"/>
      <c r="H33" s="118"/>
      <c r="I33" s="118"/>
    </row>
  </sheetData>
  <sheetProtection/>
  <printOptions/>
  <pageMargins left="0.7" right="0.7" top="0.58" bottom="0.5" header="0.3" footer="0.3"/>
  <pageSetup horizontalDpi="600" verticalDpi="600" orientation="portrait" paperSize="9" scale="85" r:id="rId1"/>
  <headerFooter>
    <oddHeader>&amp;RProduce Brokers Limited
1349/A, North Agrabad, D.T. Road Askarabad (1st floor)
Chattogram-4224
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0.140625" style="373" customWidth="1"/>
    <col min="2" max="2" width="7.140625" style="31" customWidth="1"/>
    <col min="3" max="3" width="10.28125" style="360" customWidth="1"/>
    <col min="4" max="4" width="7.7109375" style="31" customWidth="1"/>
    <col min="5" max="5" width="9.421875" style="244" customWidth="1"/>
    <col min="6" max="6" width="6.421875" style="31" customWidth="1"/>
    <col min="7" max="7" width="10.00390625" style="360" customWidth="1"/>
    <col min="8" max="8" width="14.8515625" style="48" customWidth="1"/>
    <col min="9" max="9" width="9.28125" style="48" customWidth="1"/>
    <col min="10" max="15" width="8.8515625" style="373" customWidth="1"/>
    <col min="16" max="16" width="12.7109375" style="373" bestFit="1" customWidth="1"/>
    <col min="17" max="16384" width="8.8515625" style="373" customWidth="1"/>
  </cols>
  <sheetData>
    <row r="1" spans="1:11" ht="14.25" customHeight="1">
      <c r="A1" s="329" t="s">
        <v>940</v>
      </c>
      <c r="B1" s="330"/>
      <c r="C1" s="331"/>
      <c r="D1" s="330"/>
      <c r="E1" s="332"/>
      <c r="F1" s="330"/>
      <c r="G1" s="331"/>
      <c r="H1" s="333"/>
      <c r="I1" s="333"/>
      <c r="J1" s="262"/>
      <c r="K1" s="262"/>
    </row>
    <row r="2" spans="1:11" ht="14.25" customHeight="1">
      <c r="A2" s="329" t="s">
        <v>941</v>
      </c>
      <c r="B2" s="330"/>
      <c r="C2" s="331"/>
      <c r="D2" s="330"/>
      <c r="E2" s="332"/>
      <c r="F2" s="330"/>
      <c r="G2" s="331"/>
      <c r="H2" s="333"/>
      <c r="I2" s="333"/>
      <c r="J2" s="262"/>
      <c r="K2" s="262"/>
    </row>
    <row r="3" spans="1:11" ht="14.25" customHeight="1">
      <c r="A3" s="329" t="s">
        <v>110</v>
      </c>
      <c r="B3" s="330"/>
      <c r="C3" s="331"/>
      <c r="D3" s="330"/>
      <c r="E3" s="332"/>
      <c r="F3" s="330"/>
      <c r="G3" s="331"/>
      <c r="H3" s="333"/>
      <c r="I3" s="333"/>
      <c r="J3" s="262"/>
      <c r="K3" s="262"/>
    </row>
    <row r="4" spans="1:11" ht="14.25" customHeight="1">
      <c r="A4" s="329" t="s">
        <v>5</v>
      </c>
      <c r="B4" s="330"/>
      <c r="C4" s="331"/>
      <c r="D4" s="330"/>
      <c r="E4" s="332"/>
      <c r="F4" s="330"/>
      <c r="G4" s="331"/>
      <c r="H4" s="333"/>
      <c r="I4" s="333"/>
      <c r="J4" s="262"/>
      <c r="K4" s="262"/>
    </row>
    <row r="5" spans="1:11" ht="14.25" customHeight="1">
      <c r="A5" s="329" t="s">
        <v>6</v>
      </c>
      <c r="B5" s="330"/>
      <c r="C5" s="331"/>
      <c r="D5" s="330"/>
      <c r="E5" s="334"/>
      <c r="F5" s="330"/>
      <c r="G5" s="331"/>
      <c r="H5" s="333"/>
      <c r="I5" s="333"/>
      <c r="J5" s="262"/>
      <c r="K5" s="262"/>
    </row>
    <row r="6" spans="1:11" ht="14.25" customHeight="1">
      <c r="A6" s="329" t="s">
        <v>111</v>
      </c>
      <c r="B6" s="330"/>
      <c r="C6" s="331"/>
      <c r="D6" s="330"/>
      <c r="E6" s="332"/>
      <c r="F6" s="330"/>
      <c r="G6" s="331"/>
      <c r="H6" s="333"/>
      <c r="I6" s="333"/>
      <c r="J6" s="262"/>
      <c r="K6" s="262"/>
    </row>
    <row r="7" spans="1:11" ht="14.25" customHeight="1">
      <c r="A7" s="329" t="s">
        <v>112</v>
      </c>
      <c r="B7" s="330"/>
      <c r="C7" s="331"/>
      <c r="D7" s="330"/>
      <c r="E7" s="335" t="s">
        <v>113</v>
      </c>
      <c r="F7" s="330"/>
      <c r="G7" s="331"/>
      <c r="H7" s="333"/>
      <c r="I7" s="333"/>
      <c r="J7" s="262"/>
      <c r="K7" s="262"/>
    </row>
    <row r="8" spans="1:11" ht="14.25" customHeight="1">
      <c r="A8" s="336" t="s">
        <v>942</v>
      </c>
      <c r="B8" s="337"/>
      <c r="C8" s="338"/>
      <c r="D8" s="337"/>
      <c r="E8" s="339"/>
      <c r="F8" s="337"/>
      <c r="G8" s="338"/>
      <c r="H8" s="340"/>
      <c r="I8" s="340"/>
      <c r="J8" s="262"/>
      <c r="K8" s="262"/>
    </row>
    <row r="9" spans="1:11" ht="14.25" customHeight="1">
      <c r="A9" s="114"/>
      <c r="B9" s="341" t="s">
        <v>45</v>
      </c>
      <c r="C9" s="342"/>
      <c r="D9" s="341" t="s">
        <v>46</v>
      </c>
      <c r="E9" s="342"/>
      <c r="F9" s="341"/>
      <c r="G9" s="343" t="s">
        <v>47</v>
      </c>
      <c r="H9" s="118"/>
      <c r="I9" s="118"/>
      <c r="J9" s="262"/>
      <c r="K9" s="262"/>
    </row>
    <row r="10" spans="1:11" ht="14.25" customHeight="1">
      <c r="A10" s="344" t="s">
        <v>461</v>
      </c>
      <c r="B10" s="345" t="s">
        <v>49</v>
      </c>
      <c r="C10" s="346" t="s">
        <v>50</v>
      </c>
      <c r="D10" s="345" t="s">
        <v>49</v>
      </c>
      <c r="E10" s="346" t="s">
        <v>50</v>
      </c>
      <c r="F10" s="345" t="s">
        <v>49</v>
      </c>
      <c r="G10" s="346" t="s">
        <v>50</v>
      </c>
      <c r="H10" s="347" t="s">
        <v>51</v>
      </c>
      <c r="I10" s="347" t="s">
        <v>52</v>
      </c>
      <c r="J10" s="262"/>
      <c r="K10" s="262"/>
    </row>
    <row r="11" spans="1:11" ht="14.25" customHeight="1">
      <c r="A11" s="119" t="s">
        <v>466</v>
      </c>
      <c r="B11" s="348"/>
      <c r="C11" s="343">
        <v>0</v>
      </c>
      <c r="D11" s="115"/>
      <c r="E11" s="121"/>
      <c r="F11" s="115"/>
      <c r="G11" s="343"/>
      <c r="H11" s="122"/>
      <c r="I11" s="350"/>
      <c r="J11" s="262"/>
      <c r="K11" s="262"/>
    </row>
    <row r="12" spans="1:11" ht="14.25" customHeight="1">
      <c r="A12" s="114" t="s">
        <v>14</v>
      </c>
      <c r="B12" s="122">
        <f aca="true" t="shared" si="0" ref="B12:H12">SUM(B11)</f>
        <v>0</v>
      </c>
      <c r="C12" s="343">
        <f t="shared" si="0"/>
        <v>0</v>
      </c>
      <c r="D12" s="341">
        <f t="shared" si="0"/>
        <v>0</v>
      </c>
      <c r="E12" s="343">
        <f t="shared" si="0"/>
        <v>0</v>
      </c>
      <c r="F12" s="341">
        <f t="shared" si="0"/>
        <v>0</v>
      </c>
      <c r="G12" s="343">
        <f t="shared" si="0"/>
        <v>0</v>
      </c>
      <c r="H12" s="122">
        <f t="shared" si="0"/>
        <v>0</v>
      </c>
      <c r="I12" s="122" t="e">
        <f>H12/G12</f>
        <v>#DIV/0!</v>
      </c>
      <c r="J12" s="262"/>
      <c r="K12" s="262"/>
    </row>
    <row r="13" spans="1:11" ht="14.25" customHeight="1">
      <c r="A13" s="344" t="s">
        <v>462</v>
      </c>
      <c r="B13" s="345" t="s">
        <v>49</v>
      </c>
      <c r="C13" s="346" t="s">
        <v>50</v>
      </c>
      <c r="D13" s="345" t="s">
        <v>49</v>
      </c>
      <c r="E13" s="346" t="s">
        <v>50</v>
      </c>
      <c r="F13" s="345" t="s">
        <v>49</v>
      </c>
      <c r="G13" s="346" t="s">
        <v>50</v>
      </c>
      <c r="H13" s="347" t="s">
        <v>51</v>
      </c>
      <c r="I13" s="347" t="s">
        <v>52</v>
      </c>
      <c r="J13" s="262"/>
      <c r="K13" s="262"/>
    </row>
    <row r="14" spans="1:11" ht="14.25" customHeight="1">
      <c r="A14" s="351" t="s">
        <v>319</v>
      </c>
      <c r="B14" s="341">
        <v>40</v>
      </c>
      <c r="C14" s="343">
        <v>1995.5</v>
      </c>
      <c r="D14" s="341">
        <v>0</v>
      </c>
      <c r="E14" s="343">
        <v>0</v>
      </c>
      <c r="F14" s="341">
        <v>40</v>
      </c>
      <c r="G14" s="343">
        <v>1995.5</v>
      </c>
      <c r="H14" s="122" t="s">
        <v>943</v>
      </c>
      <c r="I14" s="122">
        <v>179.74</v>
      </c>
      <c r="J14" s="262"/>
      <c r="K14" s="262"/>
    </row>
    <row r="15" spans="1:11" ht="14.25" customHeight="1">
      <c r="A15" s="351" t="s">
        <v>53</v>
      </c>
      <c r="B15" s="341">
        <v>754</v>
      </c>
      <c r="C15" s="343">
        <v>37576.5</v>
      </c>
      <c r="D15" s="341">
        <v>40</v>
      </c>
      <c r="E15" s="343">
        <v>1996.8</v>
      </c>
      <c r="F15" s="341">
        <v>794</v>
      </c>
      <c r="G15" s="343">
        <v>39573.3</v>
      </c>
      <c r="H15" s="122" t="s">
        <v>944</v>
      </c>
      <c r="I15" s="122">
        <v>168.25</v>
      </c>
      <c r="J15" s="262"/>
      <c r="K15" s="262"/>
    </row>
    <row r="16" spans="1:11" ht="14.25" customHeight="1">
      <c r="A16" s="351" t="s">
        <v>322</v>
      </c>
      <c r="B16" s="341">
        <v>30</v>
      </c>
      <c r="C16" s="343">
        <v>1491</v>
      </c>
      <c r="D16" s="341">
        <v>10</v>
      </c>
      <c r="E16" s="343">
        <v>499.2</v>
      </c>
      <c r="F16" s="341">
        <v>40</v>
      </c>
      <c r="G16" s="343">
        <v>1990.2</v>
      </c>
      <c r="H16" s="122" t="s">
        <v>945</v>
      </c>
      <c r="I16" s="122">
        <v>148.89</v>
      </c>
      <c r="J16" s="262"/>
      <c r="K16" s="262"/>
    </row>
    <row r="17" spans="1:11" ht="14.25" customHeight="1">
      <c r="A17" s="351" t="s">
        <v>55</v>
      </c>
      <c r="B17" s="341">
        <v>21</v>
      </c>
      <c r="C17" s="343">
        <v>1048.5</v>
      </c>
      <c r="D17" s="341">
        <v>0</v>
      </c>
      <c r="E17" s="343">
        <v>0</v>
      </c>
      <c r="F17" s="341">
        <v>21</v>
      </c>
      <c r="G17" s="343">
        <v>1048.5</v>
      </c>
      <c r="H17" s="122" t="s">
        <v>946</v>
      </c>
      <c r="I17" s="122">
        <v>237.52</v>
      </c>
      <c r="J17" s="262"/>
      <c r="K17" s="262"/>
    </row>
    <row r="18" spans="1:11" ht="14.25" customHeight="1">
      <c r="A18" s="351" t="s">
        <v>128</v>
      </c>
      <c r="B18" s="341">
        <v>65</v>
      </c>
      <c r="C18" s="343">
        <v>3233.5</v>
      </c>
      <c r="D18" s="341">
        <v>0</v>
      </c>
      <c r="E18" s="343">
        <v>0</v>
      </c>
      <c r="F18" s="341">
        <v>65</v>
      </c>
      <c r="G18" s="343">
        <v>3233.5</v>
      </c>
      <c r="H18" s="122" t="s">
        <v>947</v>
      </c>
      <c r="I18" s="122">
        <v>198.87</v>
      </c>
      <c r="J18" s="262"/>
      <c r="K18" s="262"/>
    </row>
    <row r="19" spans="1:11" ht="14.25" customHeight="1">
      <c r="A19" s="351" t="s">
        <v>640</v>
      </c>
      <c r="B19" s="341"/>
      <c r="C19" s="343">
        <v>0</v>
      </c>
      <c r="D19" s="341">
        <v>35</v>
      </c>
      <c r="E19" s="343">
        <v>1744.9</v>
      </c>
      <c r="F19" s="341">
        <v>35</v>
      </c>
      <c r="G19" s="343">
        <v>1744.9</v>
      </c>
      <c r="H19" s="122" t="s">
        <v>948</v>
      </c>
      <c r="I19" s="122">
        <v>171.02</v>
      </c>
      <c r="J19" s="262"/>
      <c r="K19" s="262"/>
    </row>
    <row r="20" spans="1:11" ht="14.25" customHeight="1">
      <c r="A20" s="351" t="s">
        <v>57</v>
      </c>
      <c r="B20" s="341">
        <v>30</v>
      </c>
      <c r="C20" s="343">
        <v>1498.5</v>
      </c>
      <c r="D20" s="341">
        <v>0</v>
      </c>
      <c r="E20" s="343">
        <v>0</v>
      </c>
      <c r="F20" s="341">
        <v>30</v>
      </c>
      <c r="G20" s="343">
        <v>1498.5</v>
      </c>
      <c r="H20" s="122" t="s">
        <v>949</v>
      </c>
      <c r="I20" s="122">
        <v>184</v>
      </c>
      <c r="J20" s="262"/>
      <c r="K20" s="262"/>
    </row>
    <row r="21" spans="1:11" ht="14.25" customHeight="1">
      <c r="A21" s="351" t="s">
        <v>475</v>
      </c>
      <c r="B21" s="341">
        <v>80</v>
      </c>
      <c r="C21" s="343">
        <v>3992.5</v>
      </c>
      <c r="D21" s="341">
        <v>0</v>
      </c>
      <c r="E21" s="343">
        <v>0</v>
      </c>
      <c r="F21" s="341">
        <v>80</v>
      </c>
      <c r="G21" s="343">
        <v>3992.5</v>
      </c>
      <c r="H21" s="122" t="s">
        <v>950</v>
      </c>
      <c r="I21" s="122">
        <v>193.07</v>
      </c>
      <c r="J21" s="262"/>
      <c r="K21" s="262"/>
    </row>
    <row r="22" spans="1:11" ht="14.25" customHeight="1">
      <c r="A22" s="351" t="s">
        <v>61</v>
      </c>
      <c r="B22" s="341">
        <v>10</v>
      </c>
      <c r="C22" s="343">
        <v>498.5</v>
      </c>
      <c r="D22" s="341">
        <v>0</v>
      </c>
      <c r="E22" s="343">
        <v>0</v>
      </c>
      <c r="F22" s="341">
        <v>10</v>
      </c>
      <c r="G22" s="343">
        <v>498.5</v>
      </c>
      <c r="H22" s="122">
        <v>54835</v>
      </c>
      <c r="I22" s="122">
        <v>110</v>
      </c>
      <c r="J22" s="262"/>
      <c r="K22" s="262"/>
    </row>
    <row r="23" spans="1:11" ht="14.25" customHeight="1">
      <c r="A23" s="351" t="s">
        <v>63</v>
      </c>
      <c r="B23" s="341">
        <v>11</v>
      </c>
      <c r="C23" s="343">
        <v>505.5</v>
      </c>
      <c r="D23" s="341">
        <v>0</v>
      </c>
      <c r="E23" s="343">
        <v>0</v>
      </c>
      <c r="F23" s="341">
        <v>11</v>
      </c>
      <c r="G23" s="343">
        <v>505.5</v>
      </c>
      <c r="H23" s="122" t="s">
        <v>951</v>
      </c>
      <c r="I23" s="122">
        <v>199.85</v>
      </c>
      <c r="J23" s="262"/>
      <c r="K23" s="262"/>
    </row>
    <row r="24" spans="1:11" ht="14.25" customHeight="1">
      <c r="A24" s="351" t="s">
        <v>329</v>
      </c>
      <c r="B24" s="341">
        <v>10</v>
      </c>
      <c r="C24" s="343">
        <v>495.5</v>
      </c>
      <c r="D24" s="341">
        <v>0</v>
      </c>
      <c r="E24" s="343">
        <v>0</v>
      </c>
      <c r="F24" s="341">
        <v>10</v>
      </c>
      <c r="G24" s="343">
        <v>495.5</v>
      </c>
      <c r="H24" s="122">
        <v>49550</v>
      </c>
      <c r="I24" s="122">
        <v>100</v>
      </c>
      <c r="J24" s="262"/>
      <c r="K24" s="262"/>
    </row>
    <row r="25" spans="1:11" ht="14.25" customHeight="1">
      <c r="A25" s="351" t="s">
        <v>136</v>
      </c>
      <c r="B25" s="341">
        <v>60</v>
      </c>
      <c r="C25" s="343">
        <v>2998.5</v>
      </c>
      <c r="D25" s="341">
        <v>0</v>
      </c>
      <c r="E25" s="343">
        <v>0</v>
      </c>
      <c r="F25" s="341">
        <v>60</v>
      </c>
      <c r="G25" s="343">
        <v>2998.5</v>
      </c>
      <c r="H25" s="122">
        <v>646177.5</v>
      </c>
      <c r="I25" s="122">
        <v>215.50025012506254</v>
      </c>
      <c r="J25" s="262"/>
      <c r="K25" s="262"/>
    </row>
    <row r="26" spans="1:11" ht="14.25" customHeight="1">
      <c r="A26" s="351" t="s">
        <v>67</v>
      </c>
      <c r="B26" s="341">
        <v>70</v>
      </c>
      <c r="C26" s="343">
        <v>3495.5</v>
      </c>
      <c r="D26" s="341">
        <v>30</v>
      </c>
      <c r="E26" s="343">
        <v>1497.6</v>
      </c>
      <c r="F26" s="341">
        <v>100</v>
      </c>
      <c r="G26" s="343">
        <v>4993.1</v>
      </c>
      <c r="H26" s="122" t="s">
        <v>952</v>
      </c>
      <c r="I26" s="122">
        <v>198.89</v>
      </c>
      <c r="J26" s="262"/>
      <c r="K26" s="262"/>
    </row>
    <row r="27" spans="1:11" ht="14.25" customHeight="1">
      <c r="A27" s="351" t="s">
        <v>69</v>
      </c>
      <c r="B27" s="341">
        <v>40</v>
      </c>
      <c r="C27" s="343">
        <v>1992.5</v>
      </c>
      <c r="D27" s="341">
        <v>0</v>
      </c>
      <c r="E27" s="343">
        <v>0</v>
      </c>
      <c r="F27" s="341">
        <v>40</v>
      </c>
      <c r="G27" s="343">
        <v>1992.5</v>
      </c>
      <c r="H27" s="122" t="s">
        <v>953</v>
      </c>
      <c r="I27" s="122">
        <v>102.52</v>
      </c>
      <c r="J27" s="262"/>
      <c r="K27" s="262"/>
    </row>
    <row r="28" spans="1:11" ht="14.25" customHeight="1">
      <c r="A28" s="351" t="s">
        <v>71</v>
      </c>
      <c r="B28" s="341">
        <v>1055</v>
      </c>
      <c r="C28" s="343">
        <v>52651</v>
      </c>
      <c r="D28" s="341">
        <v>180</v>
      </c>
      <c r="E28" s="343">
        <v>8986.2</v>
      </c>
      <c r="F28" s="341">
        <v>1235</v>
      </c>
      <c r="G28" s="343">
        <v>61637.2</v>
      </c>
      <c r="H28" s="122" t="s">
        <v>954</v>
      </c>
      <c r="I28" s="122">
        <v>181.22</v>
      </c>
      <c r="J28" s="262"/>
      <c r="K28" s="262"/>
    </row>
    <row r="29" spans="1:11" ht="14.25" customHeight="1">
      <c r="A29" s="351" t="s">
        <v>141</v>
      </c>
      <c r="B29" s="341">
        <v>10</v>
      </c>
      <c r="C29" s="343">
        <v>498.5</v>
      </c>
      <c r="D29" s="341">
        <v>15</v>
      </c>
      <c r="E29" s="343">
        <v>749.5</v>
      </c>
      <c r="F29" s="341">
        <v>25</v>
      </c>
      <c r="G29" s="343">
        <v>1248</v>
      </c>
      <c r="H29" s="122" t="s">
        <v>955</v>
      </c>
      <c r="I29" s="122">
        <v>212.8</v>
      </c>
      <c r="J29" s="262"/>
      <c r="K29" s="262"/>
    </row>
    <row r="30" spans="1:11" ht="14.25" customHeight="1">
      <c r="A30" s="351" t="s">
        <v>73</v>
      </c>
      <c r="B30" s="341">
        <v>10</v>
      </c>
      <c r="C30" s="343">
        <v>498.5</v>
      </c>
      <c r="D30" s="341">
        <v>0</v>
      </c>
      <c r="E30" s="343">
        <v>0</v>
      </c>
      <c r="F30" s="341">
        <v>10</v>
      </c>
      <c r="G30" s="343">
        <v>498.5</v>
      </c>
      <c r="H30" s="122">
        <v>77267.5</v>
      </c>
      <c r="I30" s="122">
        <v>155</v>
      </c>
      <c r="J30" s="262"/>
      <c r="K30" s="262"/>
    </row>
    <row r="31" spans="1:11" ht="14.25" customHeight="1">
      <c r="A31" s="351" t="s">
        <v>75</v>
      </c>
      <c r="B31" s="341">
        <v>31</v>
      </c>
      <c r="C31" s="343">
        <v>1499.5</v>
      </c>
      <c r="D31" s="341">
        <v>0</v>
      </c>
      <c r="E31" s="343">
        <v>0</v>
      </c>
      <c r="F31" s="341">
        <v>31</v>
      </c>
      <c r="G31" s="343">
        <v>1499.5</v>
      </c>
      <c r="H31" s="122">
        <v>264527.5</v>
      </c>
      <c r="I31" s="122">
        <v>176.4104701567189</v>
      </c>
      <c r="J31" s="262"/>
      <c r="K31" s="262"/>
    </row>
    <row r="32" spans="1:11" ht="14.25" customHeight="1">
      <c r="A32" s="351" t="s">
        <v>77</v>
      </c>
      <c r="B32" s="341">
        <v>10</v>
      </c>
      <c r="C32" s="343">
        <v>499.5</v>
      </c>
      <c r="D32" s="341">
        <v>20</v>
      </c>
      <c r="E32" s="343">
        <v>997.2</v>
      </c>
      <c r="F32" s="341">
        <v>30</v>
      </c>
      <c r="G32" s="343">
        <v>1496.7</v>
      </c>
      <c r="H32" s="122" t="s">
        <v>956</v>
      </c>
      <c r="I32" s="122">
        <v>212.35</v>
      </c>
      <c r="J32" s="262"/>
      <c r="K32" s="262"/>
    </row>
    <row r="33" spans="1:11" ht="14.25" customHeight="1">
      <c r="A33" s="351" t="s">
        <v>445</v>
      </c>
      <c r="B33" s="341"/>
      <c r="C33" s="343">
        <v>0</v>
      </c>
      <c r="D33" s="341">
        <v>10</v>
      </c>
      <c r="E33" s="343">
        <v>499.2</v>
      </c>
      <c r="F33" s="341">
        <v>10</v>
      </c>
      <c r="G33" s="343">
        <v>499.2</v>
      </c>
      <c r="H33" s="122" t="s">
        <v>957</v>
      </c>
      <c r="I33" s="122">
        <v>244</v>
      </c>
      <c r="J33" s="262"/>
      <c r="K33" s="262"/>
    </row>
    <row r="34" spans="1:11" ht="14.25" customHeight="1">
      <c r="A34" s="351" t="s">
        <v>257</v>
      </c>
      <c r="B34" s="341"/>
      <c r="C34" s="343">
        <v>0</v>
      </c>
      <c r="D34" s="341">
        <v>10</v>
      </c>
      <c r="E34" s="343">
        <v>499.2</v>
      </c>
      <c r="F34" s="341">
        <v>10</v>
      </c>
      <c r="G34" s="343">
        <v>499.2</v>
      </c>
      <c r="H34" s="122">
        <v>78873.6</v>
      </c>
      <c r="I34" s="122">
        <v>158</v>
      </c>
      <c r="J34" s="262"/>
      <c r="K34" s="262"/>
    </row>
    <row r="35" spans="1:11" ht="14.25" customHeight="1">
      <c r="A35" s="351" t="s">
        <v>221</v>
      </c>
      <c r="B35" s="341">
        <v>40</v>
      </c>
      <c r="C35" s="343">
        <v>1994</v>
      </c>
      <c r="D35" s="341">
        <v>0</v>
      </c>
      <c r="E35" s="343">
        <v>0</v>
      </c>
      <c r="F35" s="341">
        <v>40</v>
      </c>
      <c r="G35" s="343">
        <v>1994</v>
      </c>
      <c r="H35" s="122" t="s">
        <v>958</v>
      </c>
      <c r="I35" s="122">
        <v>163.25</v>
      </c>
      <c r="J35" s="262"/>
      <c r="K35" s="262"/>
    </row>
    <row r="36" spans="1:11" ht="14.25" customHeight="1">
      <c r="A36" s="351" t="s">
        <v>613</v>
      </c>
      <c r="B36" s="341">
        <v>40</v>
      </c>
      <c r="C36" s="343">
        <v>1989.5</v>
      </c>
      <c r="D36" s="341">
        <v>0</v>
      </c>
      <c r="E36" s="343">
        <v>0</v>
      </c>
      <c r="F36" s="341">
        <v>40</v>
      </c>
      <c r="G36" s="343">
        <v>1989.5</v>
      </c>
      <c r="H36" s="122" t="s">
        <v>959</v>
      </c>
      <c r="I36" s="122">
        <v>146.48</v>
      </c>
      <c r="J36" s="262"/>
      <c r="K36" s="262"/>
    </row>
    <row r="37" spans="1:11" ht="14.25" customHeight="1">
      <c r="A37" s="351" t="s">
        <v>83</v>
      </c>
      <c r="B37" s="341">
        <v>320</v>
      </c>
      <c r="C37" s="343">
        <v>15968.5</v>
      </c>
      <c r="D37" s="341">
        <v>20</v>
      </c>
      <c r="E37" s="343">
        <v>997.9</v>
      </c>
      <c r="F37" s="341">
        <v>340</v>
      </c>
      <c r="G37" s="343">
        <v>16966.4</v>
      </c>
      <c r="H37" s="122" t="s">
        <v>960</v>
      </c>
      <c r="I37" s="122">
        <v>163.25</v>
      </c>
      <c r="J37" s="262"/>
      <c r="K37" s="262"/>
    </row>
    <row r="38" spans="1:11" ht="14.25" customHeight="1">
      <c r="A38" s="351" t="s">
        <v>85</v>
      </c>
      <c r="B38" s="341">
        <v>40</v>
      </c>
      <c r="C38" s="343">
        <v>1995.5</v>
      </c>
      <c r="D38" s="341">
        <v>0</v>
      </c>
      <c r="E38" s="343">
        <v>0</v>
      </c>
      <c r="F38" s="341">
        <v>40</v>
      </c>
      <c r="G38" s="343">
        <v>1995.5</v>
      </c>
      <c r="H38" s="122" t="s">
        <v>961</v>
      </c>
      <c r="I38" s="122">
        <v>136.72</v>
      </c>
      <c r="J38" s="262"/>
      <c r="K38" s="262"/>
    </row>
    <row r="39" spans="1:11" ht="14.25" customHeight="1">
      <c r="A39" s="351" t="s">
        <v>87</v>
      </c>
      <c r="B39" s="341">
        <v>1</v>
      </c>
      <c r="C39" s="343">
        <v>7</v>
      </c>
      <c r="D39" s="341">
        <v>0</v>
      </c>
      <c r="E39" s="343">
        <v>0</v>
      </c>
      <c r="F39" s="341">
        <v>1</v>
      </c>
      <c r="G39" s="343">
        <v>7</v>
      </c>
      <c r="H39" s="122">
        <v>9800</v>
      </c>
      <c r="I39" s="122">
        <v>1400</v>
      </c>
      <c r="J39" s="262"/>
      <c r="K39" s="262"/>
    </row>
    <row r="40" spans="1:11" ht="14.25" customHeight="1">
      <c r="A40" s="351" t="s">
        <v>150</v>
      </c>
      <c r="B40" s="341">
        <v>45</v>
      </c>
      <c r="C40" s="343">
        <v>2244.5</v>
      </c>
      <c r="D40" s="341">
        <v>40</v>
      </c>
      <c r="E40" s="343">
        <v>1996.8</v>
      </c>
      <c r="F40" s="341">
        <v>85</v>
      </c>
      <c r="G40" s="343">
        <v>4241.3</v>
      </c>
      <c r="H40" s="122" t="s">
        <v>962</v>
      </c>
      <c r="I40" s="122">
        <v>171.88</v>
      </c>
      <c r="J40" s="262"/>
      <c r="K40" s="262"/>
    </row>
    <row r="41" spans="1:11" ht="14.25" customHeight="1">
      <c r="A41" s="351" t="s">
        <v>226</v>
      </c>
      <c r="B41" s="341"/>
      <c r="C41" s="343">
        <v>0</v>
      </c>
      <c r="D41" s="341">
        <v>30</v>
      </c>
      <c r="E41" s="343">
        <v>1494.6</v>
      </c>
      <c r="F41" s="341">
        <v>30</v>
      </c>
      <c r="G41" s="343">
        <v>1494.6</v>
      </c>
      <c r="H41" s="122" t="s">
        <v>963</v>
      </c>
      <c r="I41" s="122">
        <v>137.01</v>
      </c>
      <c r="J41" s="262"/>
      <c r="K41" s="262"/>
    </row>
    <row r="42" spans="1:11" ht="14.25" customHeight="1">
      <c r="A42" s="351" t="s">
        <v>92</v>
      </c>
      <c r="B42" s="341">
        <v>10</v>
      </c>
      <c r="C42" s="343">
        <v>498.5</v>
      </c>
      <c r="D42" s="341">
        <v>45</v>
      </c>
      <c r="E42" s="343">
        <v>2245.8</v>
      </c>
      <c r="F42" s="341">
        <v>55</v>
      </c>
      <c r="G42" s="343">
        <v>2744.3</v>
      </c>
      <c r="H42" s="122" t="s">
        <v>964</v>
      </c>
      <c r="I42" s="122">
        <v>180.64</v>
      </c>
      <c r="J42" s="262"/>
      <c r="K42" s="262"/>
    </row>
    <row r="43" spans="1:11" ht="14.25" customHeight="1">
      <c r="A43" s="351" t="s">
        <v>229</v>
      </c>
      <c r="B43" s="341">
        <v>30</v>
      </c>
      <c r="C43" s="343">
        <v>1485</v>
      </c>
      <c r="D43" s="341">
        <v>0</v>
      </c>
      <c r="E43" s="343">
        <v>0</v>
      </c>
      <c r="F43" s="341">
        <v>30</v>
      </c>
      <c r="G43" s="343">
        <v>1485</v>
      </c>
      <c r="H43" s="122" t="s">
        <v>965</v>
      </c>
      <c r="I43" s="122">
        <v>116.35</v>
      </c>
      <c r="J43" s="262"/>
      <c r="K43" s="262"/>
    </row>
    <row r="44" spans="1:11" ht="14.25" customHeight="1">
      <c r="A44" s="351" t="s">
        <v>190</v>
      </c>
      <c r="B44" s="341">
        <v>20</v>
      </c>
      <c r="C44" s="343">
        <v>998.5</v>
      </c>
      <c r="D44" s="341">
        <v>0</v>
      </c>
      <c r="E44" s="343">
        <v>0</v>
      </c>
      <c r="F44" s="341">
        <v>20</v>
      </c>
      <c r="G44" s="343">
        <v>998.5</v>
      </c>
      <c r="H44" s="122" t="s">
        <v>966</v>
      </c>
      <c r="I44" s="122">
        <v>231.01</v>
      </c>
      <c r="J44" s="262"/>
      <c r="K44" s="262"/>
    </row>
    <row r="45" spans="1:11" ht="14.25" customHeight="1">
      <c r="A45" s="351" t="s">
        <v>96</v>
      </c>
      <c r="B45" s="341">
        <v>30</v>
      </c>
      <c r="C45" s="343">
        <v>1497</v>
      </c>
      <c r="D45" s="341">
        <v>0</v>
      </c>
      <c r="E45" s="343">
        <v>0</v>
      </c>
      <c r="F45" s="341">
        <v>30</v>
      </c>
      <c r="G45" s="343">
        <v>1497</v>
      </c>
      <c r="H45" s="122" t="s">
        <v>967</v>
      </c>
      <c r="I45" s="122">
        <v>230.67</v>
      </c>
      <c r="J45" s="262"/>
      <c r="K45" s="262"/>
    </row>
    <row r="46" spans="1:11" ht="14.25" customHeight="1">
      <c r="A46" s="351" t="s">
        <v>98</v>
      </c>
      <c r="B46" s="341">
        <v>20</v>
      </c>
      <c r="C46" s="343">
        <v>997</v>
      </c>
      <c r="D46" s="341">
        <v>0</v>
      </c>
      <c r="E46" s="343">
        <v>0</v>
      </c>
      <c r="F46" s="341">
        <v>20</v>
      </c>
      <c r="G46" s="343">
        <v>997</v>
      </c>
      <c r="H46" s="122" t="s">
        <v>968</v>
      </c>
      <c r="I46" s="122">
        <v>229.5</v>
      </c>
      <c r="J46" s="262"/>
      <c r="K46" s="262"/>
    </row>
    <row r="47" spans="1:11" ht="14.25" customHeight="1">
      <c r="A47" s="351" t="s">
        <v>99</v>
      </c>
      <c r="B47" s="341"/>
      <c r="C47" s="343">
        <v>0</v>
      </c>
      <c r="D47" s="341">
        <v>60</v>
      </c>
      <c r="E47" s="343">
        <v>2991.2</v>
      </c>
      <c r="F47" s="341">
        <v>60</v>
      </c>
      <c r="G47" s="343">
        <v>2991.2</v>
      </c>
      <c r="H47" s="122" t="s">
        <v>969</v>
      </c>
      <c r="I47" s="122">
        <v>146.2</v>
      </c>
      <c r="J47" s="262"/>
      <c r="K47" s="262"/>
    </row>
    <row r="48" spans="1:11" ht="14.25" customHeight="1">
      <c r="A48" s="351" t="s">
        <v>14</v>
      </c>
      <c r="B48" s="341">
        <v>2933</v>
      </c>
      <c r="C48" s="343" t="s">
        <v>970</v>
      </c>
      <c r="D48" s="341">
        <v>545</v>
      </c>
      <c r="E48" s="343">
        <v>27196.1</v>
      </c>
      <c r="F48" s="341">
        <v>3478</v>
      </c>
      <c r="G48" s="343" t="s">
        <v>971</v>
      </c>
      <c r="H48" s="122" t="s">
        <v>972</v>
      </c>
      <c r="I48" s="122">
        <v>175.43</v>
      </c>
      <c r="J48" s="262"/>
      <c r="K48" s="262"/>
    </row>
    <row r="49" spans="1:16" ht="14.25" customHeight="1">
      <c r="A49" s="119"/>
      <c r="B49" s="363"/>
      <c r="C49" s="363"/>
      <c r="D49" s="363"/>
      <c r="E49" s="363"/>
      <c r="F49" s="363"/>
      <c r="G49" s="363"/>
      <c r="H49" s="363"/>
      <c r="I49" s="363"/>
      <c r="J49" s="262"/>
      <c r="K49" s="262"/>
      <c r="P49" s="375"/>
    </row>
    <row r="50" spans="1:10" ht="14.25" customHeight="1">
      <c r="A50" s="344"/>
      <c r="B50" s="355"/>
      <c r="C50" s="342"/>
      <c r="D50" s="355"/>
      <c r="E50" s="117"/>
      <c r="F50" s="356"/>
      <c r="G50" s="342" t="s">
        <v>119</v>
      </c>
      <c r="H50" s="118"/>
      <c r="I50" s="118"/>
      <c r="J50" s="1"/>
    </row>
    <row r="51" spans="1:10" ht="14.25" customHeight="1">
      <c r="A51" s="344"/>
      <c r="B51" s="355"/>
      <c r="C51" s="342"/>
      <c r="D51" s="355"/>
      <c r="E51" s="114"/>
      <c r="F51" s="117"/>
      <c r="G51" s="359" t="s">
        <v>121</v>
      </c>
      <c r="H51" s="118"/>
      <c r="I51" s="118"/>
      <c r="J51" s="1"/>
    </row>
    <row r="52" spans="1:9" ht="14.25" customHeight="1">
      <c r="A52" s="344"/>
      <c r="B52" s="355"/>
      <c r="C52" s="342"/>
      <c r="D52" s="355"/>
      <c r="E52" s="117"/>
      <c r="F52" s="355"/>
      <c r="G52" s="342"/>
      <c r="H52" s="118"/>
      <c r="I52" s="118"/>
    </row>
    <row r="53" spans="1:9" ht="14.25" customHeight="1">
      <c r="A53" s="329" t="s">
        <v>117</v>
      </c>
      <c r="B53" s="355"/>
      <c r="C53" s="342"/>
      <c r="D53" s="355"/>
      <c r="E53" s="117"/>
      <c r="F53" s="355"/>
      <c r="G53" s="342"/>
      <c r="H53" s="118"/>
      <c r="I53" s="118"/>
    </row>
    <row r="54" spans="1:9" ht="14.25" customHeight="1">
      <c r="A54" s="329" t="s">
        <v>118</v>
      </c>
      <c r="B54" s="355"/>
      <c r="C54" s="342"/>
      <c r="D54" s="355"/>
      <c r="E54" s="117"/>
      <c r="F54" s="355"/>
      <c r="G54" s="342"/>
      <c r="H54" s="118"/>
      <c r="I54" s="118"/>
    </row>
    <row r="55" spans="1:9" ht="14.25" customHeight="1">
      <c r="A55" s="329" t="s">
        <v>120</v>
      </c>
      <c r="B55" s="355"/>
      <c r="C55" s="342"/>
      <c r="D55" s="355"/>
      <c r="E55" s="117"/>
      <c r="F55" s="355"/>
      <c r="G55" s="342"/>
      <c r="H55" s="118"/>
      <c r="I55" s="118"/>
    </row>
    <row r="56" spans="1:9" ht="14.25" customHeight="1">
      <c r="A56" s="329" t="s">
        <v>122</v>
      </c>
      <c r="B56" s="355"/>
      <c r="C56" s="342"/>
      <c r="D56" s="355"/>
      <c r="E56" s="117"/>
      <c r="F56" s="355"/>
      <c r="G56" s="342"/>
      <c r="H56" s="118"/>
      <c r="I56" s="118"/>
    </row>
    <row r="57" spans="1:9" ht="14.25" customHeight="1">
      <c r="A57" s="329" t="s">
        <v>123</v>
      </c>
      <c r="B57" s="355"/>
      <c r="C57" s="342"/>
      <c r="D57" s="355"/>
      <c r="E57" s="117"/>
      <c r="F57" s="355"/>
      <c r="G57" s="342"/>
      <c r="H57" s="118"/>
      <c r="I57" s="118"/>
    </row>
  </sheetData>
  <sheetProtection/>
  <printOptions/>
  <pageMargins left="0.7" right="0.7" top="0.58" bottom="0.5" header="0.3" footer="0.3"/>
  <pageSetup horizontalDpi="600" verticalDpi="600" orientation="portrait" paperSize="9" scale="80" r:id="rId1"/>
  <headerFooter>
    <oddHeader>&amp;RProduce Brokers Limited
1349/A, North Agrabad, D.T. Road Askarabad (1st floor)
Chattogram-4224
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0.140625" style="373" customWidth="1"/>
    <col min="2" max="2" width="7.140625" style="31" customWidth="1"/>
    <col min="3" max="3" width="10.28125" style="360" customWidth="1"/>
    <col min="4" max="4" width="7.7109375" style="31" customWidth="1"/>
    <col min="5" max="5" width="9.421875" style="244" customWidth="1"/>
    <col min="6" max="6" width="5.421875" style="31" customWidth="1"/>
    <col min="7" max="7" width="10.00390625" style="360" customWidth="1"/>
    <col min="8" max="8" width="13.57421875" style="48" customWidth="1"/>
    <col min="9" max="9" width="7.7109375" style="48" customWidth="1"/>
    <col min="10" max="15" width="8.8515625" style="373" customWidth="1"/>
    <col min="16" max="16" width="12.7109375" style="373" bestFit="1" customWidth="1"/>
    <col min="17" max="16384" width="8.8515625" style="373" customWidth="1"/>
  </cols>
  <sheetData>
    <row r="1" spans="1:11" ht="14.25" customHeight="1">
      <c r="A1" s="329" t="s">
        <v>899</v>
      </c>
      <c r="B1" s="330"/>
      <c r="C1" s="331"/>
      <c r="D1" s="330"/>
      <c r="E1" s="332"/>
      <c r="F1" s="330"/>
      <c r="G1" s="331"/>
      <c r="H1" s="333"/>
      <c r="I1" s="333"/>
      <c r="J1" s="262"/>
      <c r="K1" s="262"/>
    </row>
    <row r="2" spans="1:11" ht="14.25" customHeight="1">
      <c r="A2" s="329" t="s">
        <v>900</v>
      </c>
      <c r="B2" s="330"/>
      <c r="C2" s="331"/>
      <c r="D2" s="330"/>
      <c r="E2" s="332"/>
      <c r="F2" s="330"/>
      <c r="G2" s="331"/>
      <c r="H2" s="333"/>
      <c r="I2" s="333"/>
      <c r="J2" s="262"/>
      <c r="K2" s="262"/>
    </row>
    <row r="3" spans="1:11" ht="14.25" customHeight="1">
      <c r="A3" s="329" t="s">
        <v>110</v>
      </c>
      <c r="B3" s="330"/>
      <c r="C3" s="331"/>
      <c r="D3" s="330"/>
      <c r="E3" s="332"/>
      <c r="F3" s="330"/>
      <c r="G3" s="331"/>
      <c r="H3" s="333"/>
      <c r="I3" s="333"/>
      <c r="J3" s="262"/>
      <c r="K3" s="262"/>
    </row>
    <row r="4" spans="1:11" ht="14.25" customHeight="1">
      <c r="A4" s="329" t="s">
        <v>5</v>
      </c>
      <c r="B4" s="330"/>
      <c r="C4" s="331"/>
      <c r="D4" s="330"/>
      <c r="E4" s="332"/>
      <c r="F4" s="330"/>
      <c r="G4" s="331"/>
      <c r="H4" s="333"/>
      <c r="I4" s="333"/>
      <c r="J4" s="262"/>
      <c r="K4" s="262"/>
    </row>
    <row r="5" spans="1:11" ht="14.25" customHeight="1">
      <c r="A5" s="329" t="s">
        <v>6</v>
      </c>
      <c r="B5" s="330"/>
      <c r="C5" s="331"/>
      <c r="D5" s="330"/>
      <c r="E5" s="334"/>
      <c r="F5" s="330"/>
      <c r="G5" s="331"/>
      <c r="H5" s="333"/>
      <c r="I5" s="333"/>
      <c r="J5" s="262"/>
      <c r="K5" s="262"/>
    </row>
    <row r="6" spans="1:11" ht="14.25" customHeight="1">
      <c r="A6" s="329" t="s">
        <v>111</v>
      </c>
      <c r="B6" s="330"/>
      <c r="C6" s="331"/>
      <c r="D6" s="330"/>
      <c r="E6" s="332"/>
      <c r="F6" s="330"/>
      <c r="G6" s="331"/>
      <c r="H6" s="333"/>
      <c r="I6" s="333"/>
      <c r="J6" s="262"/>
      <c r="K6" s="262"/>
    </row>
    <row r="7" spans="1:11" ht="14.25" customHeight="1">
      <c r="A7" s="329" t="s">
        <v>112</v>
      </c>
      <c r="B7" s="330"/>
      <c r="C7" s="331"/>
      <c r="D7" s="330"/>
      <c r="E7" s="335" t="s">
        <v>113</v>
      </c>
      <c r="F7" s="330"/>
      <c r="G7" s="331"/>
      <c r="H7" s="333"/>
      <c r="I7" s="333"/>
      <c r="J7" s="262"/>
      <c r="K7" s="262"/>
    </row>
    <row r="8" spans="1:11" ht="14.25" customHeight="1">
      <c r="A8" s="336" t="s">
        <v>901</v>
      </c>
      <c r="B8" s="337"/>
      <c r="C8" s="338"/>
      <c r="D8" s="337"/>
      <c r="E8" s="339"/>
      <c r="F8" s="337"/>
      <c r="G8" s="338"/>
      <c r="H8" s="340"/>
      <c r="I8" s="340"/>
      <c r="J8" s="262"/>
      <c r="K8" s="262"/>
    </row>
    <row r="9" spans="1:11" ht="14.25" customHeight="1">
      <c r="A9" s="114"/>
      <c r="B9" s="341" t="s">
        <v>45</v>
      </c>
      <c r="C9" s="342"/>
      <c r="D9" s="341" t="s">
        <v>46</v>
      </c>
      <c r="E9" s="342"/>
      <c r="F9" s="341"/>
      <c r="G9" s="343" t="s">
        <v>47</v>
      </c>
      <c r="H9" s="118"/>
      <c r="I9" s="118"/>
      <c r="J9" s="262"/>
      <c r="K9" s="262"/>
    </row>
    <row r="10" spans="1:11" ht="14.25" customHeight="1">
      <c r="A10" s="344" t="s">
        <v>461</v>
      </c>
      <c r="B10" s="345" t="s">
        <v>49</v>
      </c>
      <c r="C10" s="346" t="s">
        <v>50</v>
      </c>
      <c r="D10" s="345" t="s">
        <v>49</v>
      </c>
      <c r="E10" s="346" t="s">
        <v>50</v>
      </c>
      <c r="F10" s="345" t="s">
        <v>49</v>
      </c>
      <c r="G10" s="346" t="s">
        <v>50</v>
      </c>
      <c r="H10" s="347" t="s">
        <v>51</v>
      </c>
      <c r="I10" s="347" t="s">
        <v>52</v>
      </c>
      <c r="J10" s="262"/>
      <c r="K10" s="262"/>
    </row>
    <row r="11" spans="1:11" ht="14.25" customHeight="1">
      <c r="A11" s="119" t="s">
        <v>466</v>
      </c>
      <c r="B11" s="348"/>
      <c r="C11" s="343">
        <v>0</v>
      </c>
      <c r="D11" s="115"/>
      <c r="E11" s="121"/>
      <c r="F11" s="115"/>
      <c r="G11" s="343"/>
      <c r="H11" s="122"/>
      <c r="I11" s="350"/>
      <c r="J11" s="262"/>
      <c r="K11" s="262"/>
    </row>
    <row r="12" spans="1:11" ht="14.25" customHeight="1">
      <c r="A12" s="114" t="s">
        <v>14</v>
      </c>
      <c r="B12" s="122">
        <f aca="true" t="shared" si="0" ref="B12:H12">SUM(B11)</f>
        <v>0</v>
      </c>
      <c r="C12" s="343">
        <f t="shared" si="0"/>
        <v>0</v>
      </c>
      <c r="D12" s="341">
        <f t="shared" si="0"/>
        <v>0</v>
      </c>
      <c r="E12" s="343">
        <f t="shared" si="0"/>
        <v>0</v>
      </c>
      <c r="F12" s="341">
        <f t="shared" si="0"/>
        <v>0</v>
      </c>
      <c r="G12" s="343">
        <f t="shared" si="0"/>
        <v>0</v>
      </c>
      <c r="H12" s="122">
        <f t="shared" si="0"/>
        <v>0</v>
      </c>
      <c r="I12" s="122" t="e">
        <f>H12/G12</f>
        <v>#DIV/0!</v>
      </c>
      <c r="J12" s="262"/>
      <c r="K12" s="262"/>
    </row>
    <row r="13" spans="1:11" ht="14.25" customHeight="1">
      <c r="A13" s="344" t="s">
        <v>462</v>
      </c>
      <c r="B13" s="345" t="s">
        <v>49</v>
      </c>
      <c r="C13" s="346" t="s">
        <v>50</v>
      </c>
      <c r="D13" s="345" t="s">
        <v>49</v>
      </c>
      <c r="E13" s="346" t="s">
        <v>50</v>
      </c>
      <c r="F13" s="345" t="s">
        <v>49</v>
      </c>
      <c r="G13" s="346" t="s">
        <v>50</v>
      </c>
      <c r="H13" s="347" t="s">
        <v>51</v>
      </c>
      <c r="I13" s="347" t="s">
        <v>52</v>
      </c>
      <c r="J13" s="262"/>
      <c r="K13" s="262"/>
    </row>
    <row r="14" spans="1:11" ht="14.25" customHeight="1">
      <c r="A14" s="351" t="s">
        <v>318</v>
      </c>
      <c r="B14" s="341">
        <v>50</v>
      </c>
      <c r="C14" s="343">
        <v>2495.5</v>
      </c>
      <c r="D14" s="341">
        <v>0</v>
      </c>
      <c r="E14" s="343">
        <v>0</v>
      </c>
      <c r="F14" s="341">
        <v>50</v>
      </c>
      <c r="G14" s="343">
        <v>2495.5</v>
      </c>
      <c r="H14" s="122">
        <v>405017</v>
      </c>
      <c r="I14" s="122">
        <v>162.2989380885594</v>
      </c>
      <c r="J14" s="262"/>
      <c r="K14" s="262"/>
    </row>
    <row r="15" spans="1:11" ht="14.25" customHeight="1">
      <c r="A15" s="351" t="s">
        <v>319</v>
      </c>
      <c r="B15" s="341">
        <v>10</v>
      </c>
      <c r="C15" s="343">
        <v>498.5</v>
      </c>
      <c r="D15" s="341">
        <v>0</v>
      </c>
      <c r="E15" s="343">
        <v>0</v>
      </c>
      <c r="F15" s="341">
        <v>10</v>
      </c>
      <c r="G15" s="343">
        <v>498.5</v>
      </c>
      <c r="H15" s="122">
        <v>87237.5</v>
      </c>
      <c r="I15" s="122">
        <v>175</v>
      </c>
      <c r="J15" s="262"/>
      <c r="K15" s="262"/>
    </row>
    <row r="16" spans="1:11" ht="14.25" customHeight="1">
      <c r="A16" s="351" t="s">
        <v>53</v>
      </c>
      <c r="B16" s="341">
        <v>681</v>
      </c>
      <c r="C16" s="343">
        <v>33948</v>
      </c>
      <c r="D16" s="341">
        <v>10</v>
      </c>
      <c r="E16" s="343">
        <v>499.2</v>
      </c>
      <c r="F16" s="341">
        <v>691</v>
      </c>
      <c r="G16" s="343">
        <v>34447.2</v>
      </c>
      <c r="H16" s="122" t="s">
        <v>902</v>
      </c>
      <c r="I16" s="122">
        <v>173.12</v>
      </c>
      <c r="J16" s="262"/>
      <c r="K16" s="262"/>
    </row>
    <row r="17" spans="1:11" ht="14.25" customHeight="1">
      <c r="A17" s="351" t="s">
        <v>497</v>
      </c>
      <c r="B17" s="341">
        <v>50</v>
      </c>
      <c r="C17" s="343">
        <v>2483.5</v>
      </c>
      <c r="D17" s="341">
        <v>0</v>
      </c>
      <c r="E17" s="343">
        <v>0</v>
      </c>
      <c r="F17" s="341">
        <v>50</v>
      </c>
      <c r="G17" s="343">
        <v>2483.5</v>
      </c>
      <c r="H17" s="122" t="s">
        <v>903</v>
      </c>
      <c r="I17" s="122">
        <v>104.4</v>
      </c>
      <c r="J17" s="262"/>
      <c r="K17" s="262"/>
    </row>
    <row r="18" spans="1:11" ht="14.25" customHeight="1">
      <c r="A18" s="351" t="s">
        <v>322</v>
      </c>
      <c r="B18" s="341">
        <v>10</v>
      </c>
      <c r="C18" s="343">
        <v>498.5</v>
      </c>
      <c r="D18" s="341">
        <v>0</v>
      </c>
      <c r="E18" s="343">
        <v>0</v>
      </c>
      <c r="F18" s="341">
        <v>10</v>
      </c>
      <c r="G18" s="343">
        <v>498.5</v>
      </c>
      <c r="H18" s="122" t="s">
        <v>904</v>
      </c>
      <c r="I18" s="122">
        <v>242</v>
      </c>
      <c r="J18" s="262"/>
      <c r="K18" s="262"/>
    </row>
    <row r="19" spans="1:11" ht="14.25" customHeight="1">
      <c r="A19" s="351" t="s">
        <v>55</v>
      </c>
      <c r="B19" s="341">
        <v>42</v>
      </c>
      <c r="C19" s="343">
        <v>2097</v>
      </c>
      <c r="D19" s="341">
        <v>0</v>
      </c>
      <c r="E19" s="343">
        <v>0</v>
      </c>
      <c r="F19" s="341">
        <v>42</v>
      </c>
      <c r="G19" s="343">
        <v>2097</v>
      </c>
      <c r="H19" s="122" t="s">
        <v>905</v>
      </c>
      <c r="I19" s="122">
        <v>247.34</v>
      </c>
      <c r="J19" s="262"/>
      <c r="K19" s="262"/>
    </row>
    <row r="20" spans="1:11" ht="14.25" customHeight="1">
      <c r="A20" s="351" t="s">
        <v>168</v>
      </c>
      <c r="B20" s="341">
        <v>21</v>
      </c>
      <c r="C20" s="343">
        <v>1047</v>
      </c>
      <c r="D20" s="341">
        <v>0</v>
      </c>
      <c r="E20" s="343">
        <v>0</v>
      </c>
      <c r="F20" s="341">
        <v>21</v>
      </c>
      <c r="G20" s="343">
        <v>1047</v>
      </c>
      <c r="H20" s="122" t="s">
        <v>906</v>
      </c>
      <c r="I20" s="122">
        <v>258.14</v>
      </c>
      <c r="J20" s="262"/>
      <c r="K20" s="262"/>
    </row>
    <row r="21" spans="1:11" ht="14.25" customHeight="1">
      <c r="A21" s="351" t="s">
        <v>128</v>
      </c>
      <c r="B21" s="341">
        <v>10</v>
      </c>
      <c r="C21" s="343">
        <v>498.5</v>
      </c>
      <c r="D21" s="341">
        <v>0</v>
      </c>
      <c r="E21" s="343">
        <v>0</v>
      </c>
      <c r="F21" s="341">
        <v>10</v>
      </c>
      <c r="G21" s="343">
        <v>498.5</v>
      </c>
      <c r="H21" s="122">
        <v>74775</v>
      </c>
      <c r="I21" s="122">
        <v>150</v>
      </c>
      <c r="J21" s="262"/>
      <c r="K21" s="262"/>
    </row>
    <row r="22" spans="1:11" ht="14.25" customHeight="1">
      <c r="A22" s="351" t="s">
        <v>640</v>
      </c>
      <c r="B22" s="341"/>
      <c r="C22" s="343">
        <v>0</v>
      </c>
      <c r="D22" s="341">
        <v>50</v>
      </c>
      <c r="E22" s="343">
        <v>2495.2</v>
      </c>
      <c r="F22" s="341">
        <v>50</v>
      </c>
      <c r="G22" s="343">
        <v>2495.2</v>
      </c>
      <c r="H22" s="122" t="s">
        <v>907</v>
      </c>
      <c r="I22" s="122">
        <v>141.79</v>
      </c>
      <c r="J22" s="262"/>
      <c r="K22" s="262"/>
    </row>
    <row r="23" spans="1:11" ht="14.25" customHeight="1">
      <c r="A23" s="351" t="s">
        <v>57</v>
      </c>
      <c r="B23" s="341">
        <v>20</v>
      </c>
      <c r="C23" s="343">
        <v>997</v>
      </c>
      <c r="D23" s="341">
        <v>0</v>
      </c>
      <c r="E23" s="343">
        <v>0</v>
      </c>
      <c r="F23" s="341">
        <v>20</v>
      </c>
      <c r="G23" s="343">
        <v>997</v>
      </c>
      <c r="H23" s="122" t="s">
        <v>908</v>
      </c>
      <c r="I23" s="122">
        <v>168.5</v>
      </c>
      <c r="J23" s="262"/>
      <c r="K23" s="262"/>
    </row>
    <row r="24" spans="1:11" ht="14.25" customHeight="1">
      <c r="A24" s="351" t="s">
        <v>205</v>
      </c>
      <c r="B24" s="341">
        <v>10</v>
      </c>
      <c r="C24" s="343">
        <v>497</v>
      </c>
      <c r="D24" s="341">
        <v>0</v>
      </c>
      <c r="E24" s="343">
        <v>0</v>
      </c>
      <c r="F24" s="341">
        <v>10</v>
      </c>
      <c r="G24" s="343">
        <v>497</v>
      </c>
      <c r="H24" s="122">
        <v>53179</v>
      </c>
      <c r="I24" s="122">
        <v>107</v>
      </c>
      <c r="J24" s="262"/>
      <c r="K24" s="262"/>
    </row>
    <row r="25" spans="1:11" ht="14.25" customHeight="1">
      <c r="A25" s="351" t="s">
        <v>132</v>
      </c>
      <c r="B25" s="341">
        <v>20</v>
      </c>
      <c r="C25" s="343">
        <v>998.5</v>
      </c>
      <c r="D25" s="341">
        <v>0</v>
      </c>
      <c r="E25" s="343">
        <v>0</v>
      </c>
      <c r="F25" s="341">
        <v>20</v>
      </c>
      <c r="G25" s="343">
        <v>998.5</v>
      </c>
      <c r="H25" s="122" t="s">
        <v>909</v>
      </c>
      <c r="I25" s="122">
        <v>115</v>
      </c>
      <c r="J25" s="262"/>
      <c r="K25" s="262"/>
    </row>
    <row r="26" spans="1:11" ht="14.25" customHeight="1">
      <c r="A26" s="351" t="s">
        <v>475</v>
      </c>
      <c r="B26" s="341">
        <v>110</v>
      </c>
      <c r="C26" s="343">
        <v>5473</v>
      </c>
      <c r="D26" s="341">
        <v>0</v>
      </c>
      <c r="E26" s="343">
        <v>0</v>
      </c>
      <c r="F26" s="341">
        <v>110</v>
      </c>
      <c r="G26" s="343">
        <v>5473</v>
      </c>
      <c r="H26" s="122" t="s">
        <v>910</v>
      </c>
      <c r="I26" s="122">
        <v>184.57</v>
      </c>
      <c r="J26" s="262"/>
      <c r="K26" s="262"/>
    </row>
    <row r="27" spans="1:11" ht="14.25" customHeight="1">
      <c r="A27" s="351" t="s">
        <v>59</v>
      </c>
      <c r="B27" s="341">
        <v>24</v>
      </c>
      <c r="C27" s="343">
        <v>1198.5</v>
      </c>
      <c r="D27" s="341">
        <v>0</v>
      </c>
      <c r="E27" s="343">
        <v>0</v>
      </c>
      <c r="F27" s="341">
        <v>24</v>
      </c>
      <c r="G27" s="343">
        <v>1198.5</v>
      </c>
      <c r="H27" s="122" t="s">
        <v>911</v>
      </c>
      <c r="I27" s="122">
        <v>253</v>
      </c>
      <c r="J27" s="262"/>
      <c r="K27" s="262"/>
    </row>
    <row r="28" spans="1:11" ht="14.25" customHeight="1">
      <c r="A28" s="351" t="s">
        <v>61</v>
      </c>
      <c r="B28" s="341">
        <v>10</v>
      </c>
      <c r="C28" s="343">
        <v>497</v>
      </c>
      <c r="D28" s="341">
        <v>0</v>
      </c>
      <c r="E28" s="343">
        <v>0</v>
      </c>
      <c r="F28" s="341">
        <v>10</v>
      </c>
      <c r="G28" s="343">
        <v>497</v>
      </c>
      <c r="H28" s="122">
        <v>51191</v>
      </c>
      <c r="I28" s="122">
        <v>103</v>
      </c>
      <c r="J28" s="262"/>
      <c r="K28" s="262"/>
    </row>
    <row r="29" spans="1:11" ht="14.25" customHeight="1">
      <c r="A29" s="351" t="s">
        <v>63</v>
      </c>
      <c r="B29" s="341">
        <v>23</v>
      </c>
      <c r="C29" s="343">
        <v>1019.5</v>
      </c>
      <c r="D29" s="341">
        <v>0</v>
      </c>
      <c r="E29" s="343">
        <v>0</v>
      </c>
      <c r="F29" s="341">
        <v>23</v>
      </c>
      <c r="G29" s="343">
        <v>1019.5</v>
      </c>
      <c r="H29" s="122" t="s">
        <v>912</v>
      </c>
      <c r="I29" s="122">
        <v>270.16</v>
      </c>
      <c r="J29" s="262"/>
      <c r="K29" s="262"/>
    </row>
    <row r="30" spans="1:11" ht="14.25" customHeight="1">
      <c r="A30" s="351" t="s">
        <v>329</v>
      </c>
      <c r="B30" s="341">
        <v>12</v>
      </c>
      <c r="C30" s="343">
        <v>597</v>
      </c>
      <c r="D30" s="341">
        <v>0</v>
      </c>
      <c r="E30" s="343">
        <v>0</v>
      </c>
      <c r="F30" s="341">
        <v>12</v>
      </c>
      <c r="G30" s="343">
        <v>597</v>
      </c>
      <c r="H30" s="122" t="s">
        <v>913</v>
      </c>
      <c r="I30" s="122">
        <v>252</v>
      </c>
      <c r="J30" s="262"/>
      <c r="K30" s="262"/>
    </row>
    <row r="31" spans="1:11" ht="14.25" customHeight="1">
      <c r="A31" s="351" t="s">
        <v>136</v>
      </c>
      <c r="B31" s="341">
        <v>10</v>
      </c>
      <c r="C31" s="343">
        <v>498.5</v>
      </c>
      <c r="D31" s="341">
        <v>0</v>
      </c>
      <c r="E31" s="343">
        <v>0</v>
      </c>
      <c r="F31" s="341">
        <v>10</v>
      </c>
      <c r="G31" s="343">
        <v>498.5</v>
      </c>
      <c r="H31" s="122" t="s">
        <v>884</v>
      </c>
      <c r="I31" s="122">
        <v>212</v>
      </c>
      <c r="J31" s="262"/>
      <c r="K31" s="262"/>
    </row>
    <row r="32" spans="1:11" ht="14.25" customHeight="1">
      <c r="A32" s="351" t="s">
        <v>67</v>
      </c>
      <c r="B32" s="341">
        <v>35</v>
      </c>
      <c r="C32" s="343">
        <v>1741</v>
      </c>
      <c r="D32" s="341">
        <v>30</v>
      </c>
      <c r="E32" s="343">
        <v>1491.6</v>
      </c>
      <c r="F32" s="341">
        <v>65</v>
      </c>
      <c r="G32" s="343">
        <v>3232.6</v>
      </c>
      <c r="H32" s="122" t="s">
        <v>914</v>
      </c>
      <c r="I32" s="122">
        <v>196.92</v>
      </c>
      <c r="J32" s="262"/>
      <c r="K32" s="262"/>
    </row>
    <row r="33" spans="1:11" ht="14.25" customHeight="1">
      <c r="A33" s="351" t="s">
        <v>541</v>
      </c>
      <c r="B33" s="341">
        <v>30</v>
      </c>
      <c r="C33" s="343">
        <v>1495.5</v>
      </c>
      <c r="D33" s="341">
        <v>0</v>
      </c>
      <c r="E33" s="343">
        <v>0</v>
      </c>
      <c r="F33" s="341">
        <v>30</v>
      </c>
      <c r="G33" s="343">
        <v>1495.5</v>
      </c>
      <c r="H33" s="122" t="s">
        <v>915</v>
      </c>
      <c r="I33" s="122">
        <v>215</v>
      </c>
      <c r="J33" s="262"/>
      <c r="K33" s="262"/>
    </row>
    <row r="34" spans="1:11" ht="14.25" customHeight="1">
      <c r="A34" s="351" t="s">
        <v>69</v>
      </c>
      <c r="B34" s="341">
        <v>60</v>
      </c>
      <c r="C34" s="343">
        <v>2991</v>
      </c>
      <c r="D34" s="341">
        <v>10</v>
      </c>
      <c r="E34" s="343">
        <v>498.7</v>
      </c>
      <c r="F34" s="341">
        <v>70</v>
      </c>
      <c r="G34" s="343">
        <v>3489.7</v>
      </c>
      <c r="H34" s="122" t="s">
        <v>916</v>
      </c>
      <c r="I34" s="122">
        <v>106.29</v>
      </c>
      <c r="J34" s="262"/>
      <c r="K34" s="262"/>
    </row>
    <row r="35" spans="1:11" ht="14.25" customHeight="1">
      <c r="A35" s="351" t="s">
        <v>71</v>
      </c>
      <c r="B35" s="341">
        <v>730</v>
      </c>
      <c r="C35" s="343">
        <v>36417</v>
      </c>
      <c r="D35" s="341">
        <v>125</v>
      </c>
      <c r="E35" s="343">
        <v>6215.9</v>
      </c>
      <c r="F35" s="341">
        <v>855</v>
      </c>
      <c r="G35" s="343">
        <v>42632.9</v>
      </c>
      <c r="H35" s="122" t="s">
        <v>917</v>
      </c>
      <c r="I35" s="122">
        <v>171.31</v>
      </c>
      <c r="J35" s="262"/>
      <c r="K35" s="262"/>
    </row>
    <row r="36" spans="1:11" ht="14.25" customHeight="1">
      <c r="A36" s="351" t="s">
        <v>141</v>
      </c>
      <c r="B36" s="341"/>
      <c r="C36" s="343">
        <v>0</v>
      </c>
      <c r="D36" s="341">
        <v>10</v>
      </c>
      <c r="E36" s="343">
        <v>499.2</v>
      </c>
      <c r="F36" s="341">
        <v>10</v>
      </c>
      <c r="G36" s="343">
        <v>499.2</v>
      </c>
      <c r="H36" s="122">
        <v>69888</v>
      </c>
      <c r="I36" s="122">
        <v>140</v>
      </c>
      <c r="J36" s="262"/>
      <c r="K36" s="262"/>
    </row>
    <row r="37" spans="1:11" ht="14.25" customHeight="1">
      <c r="A37" s="351" t="s">
        <v>73</v>
      </c>
      <c r="B37" s="341">
        <v>20</v>
      </c>
      <c r="C37" s="343">
        <v>997</v>
      </c>
      <c r="D37" s="341">
        <v>0</v>
      </c>
      <c r="E37" s="343">
        <v>0</v>
      </c>
      <c r="F37" s="341">
        <v>20</v>
      </c>
      <c r="G37" s="343">
        <v>997</v>
      </c>
      <c r="H37" s="122" t="s">
        <v>333</v>
      </c>
      <c r="I37" s="122">
        <v>189</v>
      </c>
      <c r="J37" s="262"/>
      <c r="K37" s="262"/>
    </row>
    <row r="38" spans="1:11" ht="14.25" customHeight="1">
      <c r="A38" s="351" t="s">
        <v>918</v>
      </c>
      <c r="B38" s="341">
        <v>10</v>
      </c>
      <c r="C38" s="343">
        <v>498.5</v>
      </c>
      <c r="D38" s="341">
        <v>0</v>
      </c>
      <c r="E38" s="343">
        <v>0</v>
      </c>
      <c r="F38" s="341">
        <v>10</v>
      </c>
      <c r="G38" s="343">
        <v>498.5</v>
      </c>
      <c r="H38" s="122">
        <v>57327.5</v>
      </c>
      <c r="I38" s="122">
        <v>115</v>
      </c>
      <c r="J38" s="262"/>
      <c r="K38" s="262"/>
    </row>
    <row r="39" spans="1:11" ht="14.25" customHeight="1">
      <c r="A39" s="351" t="s">
        <v>75</v>
      </c>
      <c r="B39" s="341">
        <v>20</v>
      </c>
      <c r="C39" s="343">
        <v>997</v>
      </c>
      <c r="D39" s="341">
        <v>0</v>
      </c>
      <c r="E39" s="343">
        <v>0</v>
      </c>
      <c r="F39" s="341">
        <v>20</v>
      </c>
      <c r="G39" s="343">
        <v>997</v>
      </c>
      <c r="H39" s="122" t="s">
        <v>697</v>
      </c>
      <c r="I39" s="122">
        <v>105</v>
      </c>
      <c r="J39" s="262"/>
      <c r="K39" s="262"/>
    </row>
    <row r="40" spans="1:11" ht="14.25" customHeight="1">
      <c r="A40" s="351" t="s">
        <v>77</v>
      </c>
      <c r="B40" s="341">
        <v>30</v>
      </c>
      <c r="C40" s="343">
        <v>1497</v>
      </c>
      <c r="D40" s="341">
        <v>65</v>
      </c>
      <c r="E40" s="343">
        <v>3238.7</v>
      </c>
      <c r="F40" s="341">
        <v>95</v>
      </c>
      <c r="G40" s="343">
        <v>4735.7</v>
      </c>
      <c r="H40" s="122" t="s">
        <v>919</v>
      </c>
      <c r="I40" s="122">
        <v>150.07</v>
      </c>
      <c r="J40" s="262"/>
      <c r="K40" s="262"/>
    </row>
    <row r="41" spans="1:11" ht="14.25" customHeight="1">
      <c r="A41" s="351" t="s">
        <v>445</v>
      </c>
      <c r="B41" s="341">
        <v>32</v>
      </c>
      <c r="C41" s="343">
        <v>1597</v>
      </c>
      <c r="D41" s="341">
        <v>0</v>
      </c>
      <c r="E41" s="343">
        <v>0</v>
      </c>
      <c r="F41" s="341">
        <v>32</v>
      </c>
      <c r="G41" s="343">
        <v>1597</v>
      </c>
      <c r="H41" s="122" t="s">
        <v>920</v>
      </c>
      <c r="I41" s="122">
        <v>162.1</v>
      </c>
      <c r="J41" s="262"/>
      <c r="K41" s="262"/>
    </row>
    <row r="42" spans="1:11" ht="14.25" customHeight="1">
      <c r="A42" s="351" t="s">
        <v>882</v>
      </c>
      <c r="B42" s="341">
        <v>50</v>
      </c>
      <c r="C42" s="343">
        <v>2482</v>
      </c>
      <c r="D42" s="341">
        <v>0</v>
      </c>
      <c r="E42" s="343">
        <v>0</v>
      </c>
      <c r="F42" s="341">
        <v>50</v>
      </c>
      <c r="G42" s="343">
        <v>2482</v>
      </c>
      <c r="H42" s="122" t="s">
        <v>921</v>
      </c>
      <c r="I42" s="122">
        <v>105.6</v>
      </c>
      <c r="J42" s="262"/>
      <c r="K42" s="262"/>
    </row>
    <row r="43" spans="1:11" ht="14.25" customHeight="1">
      <c r="A43" s="351" t="s">
        <v>79</v>
      </c>
      <c r="B43" s="341"/>
      <c r="C43" s="343">
        <v>0</v>
      </c>
      <c r="D43" s="341">
        <v>20</v>
      </c>
      <c r="E43" s="343">
        <v>997</v>
      </c>
      <c r="F43" s="341">
        <v>20</v>
      </c>
      <c r="G43" s="343">
        <v>997</v>
      </c>
      <c r="H43" s="122" t="s">
        <v>922</v>
      </c>
      <c r="I43" s="122">
        <v>248.43</v>
      </c>
      <c r="J43" s="262"/>
      <c r="K43" s="262"/>
    </row>
    <row r="44" spans="1:11" ht="14.25" customHeight="1">
      <c r="A44" s="351" t="s">
        <v>83</v>
      </c>
      <c r="B44" s="341">
        <v>190</v>
      </c>
      <c r="C44" s="343">
        <v>9474.5</v>
      </c>
      <c r="D44" s="341">
        <v>0</v>
      </c>
      <c r="E44" s="343">
        <v>0</v>
      </c>
      <c r="F44" s="341">
        <v>190</v>
      </c>
      <c r="G44" s="343">
        <v>9474.5</v>
      </c>
      <c r="H44" s="122" t="s">
        <v>923</v>
      </c>
      <c r="I44" s="122">
        <v>167.63</v>
      </c>
      <c r="J44" s="262"/>
      <c r="K44" s="262"/>
    </row>
    <row r="45" spans="1:11" ht="14.25" customHeight="1">
      <c r="A45" s="351" t="s">
        <v>85</v>
      </c>
      <c r="B45" s="341">
        <v>70</v>
      </c>
      <c r="C45" s="343">
        <v>3480.5</v>
      </c>
      <c r="D45" s="341">
        <v>0</v>
      </c>
      <c r="E45" s="343">
        <v>0</v>
      </c>
      <c r="F45" s="341">
        <v>70</v>
      </c>
      <c r="G45" s="343">
        <v>3480.5</v>
      </c>
      <c r="H45" s="122" t="s">
        <v>924</v>
      </c>
      <c r="I45" s="122">
        <v>127.05</v>
      </c>
      <c r="J45" s="262"/>
      <c r="K45" s="262"/>
    </row>
    <row r="46" spans="1:11" ht="14.25" customHeight="1">
      <c r="A46" s="351" t="s">
        <v>87</v>
      </c>
      <c r="B46" s="341">
        <v>40</v>
      </c>
      <c r="C46" s="343">
        <v>1992.5</v>
      </c>
      <c r="D46" s="341">
        <v>0</v>
      </c>
      <c r="E46" s="343">
        <v>0</v>
      </c>
      <c r="F46" s="341">
        <v>40</v>
      </c>
      <c r="G46" s="343">
        <v>1992.5</v>
      </c>
      <c r="H46" s="122" t="s">
        <v>925</v>
      </c>
      <c r="I46" s="122">
        <v>103.25</v>
      </c>
      <c r="J46" s="262"/>
      <c r="K46" s="262"/>
    </row>
    <row r="47" spans="1:11" ht="14.25" customHeight="1">
      <c r="A47" s="351" t="s">
        <v>150</v>
      </c>
      <c r="B47" s="341"/>
      <c r="C47" s="343">
        <v>0</v>
      </c>
      <c r="D47" s="341">
        <v>10</v>
      </c>
      <c r="E47" s="343">
        <v>499.2</v>
      </c>
      <c r="F47" s="341">
        <v>10</v>
      </c>
      <c r="G47" s="343">
        <v>499.2</v>
      </c>
      <c r="H47" s="122" t="s">
        <v>926</v>
      </c>
      <c r="I47" s="122">
        <v>270</v>
      </c>
      <c r="J47" s="262"/>
      <c r="K47" s="262"/>
    </row>
    <row r="48" spans="1:11" ht="14.25" customHeight="1">
      <c r="A48" s="351" t="s">
        <v>226</v>
      </c>
      <c r="B48" s="341"/>
      <c r="C48" s="343">
        <v>0</v>
      </c>
      <c r="D48" s="341">
        <v>20</v>
      </c>
      <c r="E48" s="343">
        <v>999.2</v>
      </c>
      <c r="F48" s="341">
        <v>20</v>
      </c>
      <c r="G48" s="343">
        <v>999.2</v>
      </c>
      <c r="H48" s="122" t="s">
        <v>927</v>
      </c>
      <c r="I48" s="122">
        <v>204.44</v>
      </c>
      <c r="J48" s="262"/>
      <c r="K48" s="262"/>
    </row>
    <row r="49" spans="1:11" ht="14.25" customHeight="1">
      <c r="A49" s="351" t="s">
        <v>90</v>
      </c>
      <c r="B49" s="341">
        <v>10</v>
      </c>
      <c r="C49" s="343">
        <v>498.5</v>
      </c>
      <c r="D49" s="341">
        <v>0</v>
      </c>
      <c r="E49" s="343">
        <v>0</v>
      </c>
      <c r="F49" s="341">
        <v>10</v>
      </c>
      <c r="G49" s="343">
        <v>498.5</v>
      </c>
      <c r="H49" s="122" t="s">
        <v>928</v>
      </c>
      <c r="I49" s="122">
        <v>246</v>
      </c>
      <c r="J49" s="262"/>
      <c r="K49" s="262"/>
    </row>
    <row r="50" spans="1:11" ht="14.25" customHeight="1">
      <c r="A50" s="351" t="s">
        <v>155</v>
      </c>
      <c r="B50" s="341">
        <v>12</v>
      </c>
      <c r="C50" s="343">
        <v>600</v>
      </c>
      <c r="D50" s="341">
        <v>0</v>
      </c>
      <c r="E50" s="343">
        <v>0</v>
      </c>
      <c r="F50" s="341">
        <v>12</v>
      </c>
      <c r="G50" s="343">
        <v>600</v>
      </c>
      <c r="H50" s="122" t="s">
        <v>929</v>
      </c>
      <c r="I50" s="122">
        <v>261</v>
      </c>
      <c r="J50" s="262"/>
      <c r="K50" s="262"/>
    </row>
    <row r="51" spans="1:11" ht="14.25" customHeight="1">
      <c r="A51" s="351" t="s">
        <v>92</v>
      </c>
      <c r="B51" s="341">
        <v>10</v>
      </c>
      <c r="C51" s="343">
        <v>497</v>
      </c>
      <c r="D51" s="341">
        <v>15</v>
      </c>
      <c r="E51" s="343">
        <v>748.4</v>
      </c>
      <c r="F51" s="341">
        <v>25</v>
      </c>
      <c r="G51" s="343">
        <v>1245.4</v>
      </c>
      <c r="H51" s="122" t="s">
        <v>930</v>
      </c>
      <c r="I51" s="122">
        <v>141.66</v>
      </c>
      <c r="J51" s="262"/>
      <c r="K51" s="262"/>
    </row>
    <row r="52" spans="1:11" ht="14.25" customHeight="1">
      <c r="A52" s="351" t="s">
        <v>229</v>
      </c>
      <c r="B52" s="341">
        <v>45</v>
      </c>
      <c r="C52" s="343">
        <v>2241</v>
      </c>
      <c r="D52" s="341">
        <v>0</v>
      </c>
      <c r="E52" s="343">
        <v>0</v>
      </c>
      <c r="F52" s="341">
        <v>45</v>
      </c>
      <c r="G52" s="343">
        <v>2241</v>
      </c>
      <c r="H52" s="122" t="s">
        <v>931</v>
      </c>
      <c r="I52" s="122">
        <v>116.12</v>
      </c>
      <c r="J52" s="262"/>
      <c r="K52" s="262"/>
    </row>
    <row r="53" spans="1:11" ht="14.25" customHeight="1">
      <c r="A53" s="351" t="s">
        <v>157</v>
      </c>
      <c r="B53" s="341">
        <v>10</v>
      </c>
      <c r="C53" s="343">
        <v>498.5</v>
      </c>
      <c r="D53" s="341">
        <v>0</v>
      </c>
      <c r="E53" s="343">
        <v>0</v>
      </c>
      <c r="F53" s="341">
        <v>10</v>
      </c>
      <c r="G53" s="343">
        <v>498.5</v>
      </c>
      <c r="H53" s="122" t="s">
        <v>932</v>
      </c>
      <c r="I53" s="122">
        <v>217</v>
      </c>
      <c r="J53" s="262"/>
      <c r="K53" s="262"/>
    </row>
    <row r="54" spans="1:11" ht="14.25" customHeight="1">
      <c r="A54" s="351" t="s">
        <v>190</v>
      </c>
      <c r="B54" s="341">
        <v>50</v>
      </c>
      <c r="C54" s="343">
        <v>2488</v>
      </c>
      <c r="D54" s="341">
        <v>0</v>
      </c>
      <c r="E54" s="343">
        <v>0</v>
      </c>
      <c r="F54" s="341">
        <v>50</v>
      </c>
      <c r="G54" s="343">
        <v>2488</v>
      </c>
      <c r="H54" s="122" t="s">
        <v>933</v>
      </c>
      <c r="I54" s="122">
        <v>136.45</v>
      </c>
      <c r="J54" s="262"/>
      <c r="K54" s="262"/>
    </row>
    <row r="55" spans="1:11" ht="14.25" customHeight="1">
      <c r="A55" s="351" t="s">
        <v>96</v>
      </c>
      <c r="B55" s="341">
        <v>70</v>
      </c>
      <c r="C55" s="343">
        <v>3480.5</v>
      </c>
      <c r="D55" s="341">
        <v>0</v>
      </c>
      <c r="E55" s="343">
        <v>0</v>
      </c>
      <c r="F55" s="341">
        <v>70</v>
      </c>
      <c r="G55" s="343">
        <v>3480.5</v>
      </c>
      <c r="H55" s="122" t="s">
        <v>934</v>
      </c>
      <c r="I55" s="122">
        <v>144.1</v>
      </c>
      <c r="J55" s="262"/>
      <c r="K55" s="262"/>
    </row>
    <row r="56" spans="1:11" ht="14.25" customHeight="1">
      <c r="A56" s="351" t="s">
        <v>98</v>
      </c>
      <c r="B56" s="341">
        <v>10</v>
      </c>
      <c r="C56" s="343">
        <v>498.5</v>
      </c>
      <c r="D56" s="341">
        <v>0</v>
      </c>
      <c r="E56" s="343">
        <v>0</v>
      </c>
      <c r="F56" s="341">
        <v>10</v>
      </c>
      <c r="G56" s="343">
        <v>498.5</v>
      </c>
      <c r="H56" s="122" t="s">
        <v>935</v>
      </c>
      <c r="I56" s="122">
        <v>237</v>
      </c>
      <c r="J56" s="262"/>
      <c r="K56" s="262"/>
    </row>
    <row r="57" spans="1:11" ht="14.25" customHeight="1">
      <c r="A57" s="119" t="s">
        <v>99</v>
      </c>
      <c r="B57" s="362"/>
      <c r="C57" s="349">
        <v>0</v>
      </c>
      <c r="D57" s="362">
        <v>50</v>
      </c>
      <c r="E57" s="121">
        <v>2493</v>
      </c>
      <c r="F57" s="362">
        <v>50</v>
      </c>
      <c r="G57" s="121">
        <v>2493</v>
      </c>
      <c r="H57" s="122" t="s">
        <v>936</v>
      </c>
      <c r="I57" s="122">
        <v>221.19</v>
      </c>
      <c r="J57" s="262"/>
      <c r="K57" s="262"/>
    </row>
    <row r="58" spans="1:11" ht="14.25" customHeight="1">
      <c r="A58" s="119" t="s">
        <v>395</v>
      </c>
      <c r="B58" s="363"/>
      <c r="C58" s="349">
        <v>0</v>
      </c>
      <c r="D58" s="362">
        <v>10</v>
      </c>
      <c r="E58" s="121">
        <v>499.2</v>
      </c>
      <c r="F58" s="363">
        <v>10</v>
      </c>
      <c r="G58" s="121">
        <v>499.2</v>
      </c>
      <c r="H58" s="122">
        <v>83865.6</v>
      </c>
      <c r="I58" s="122">
        <v>168</v>
      </c>
      <c r="J58" s="262"/>
      <c r="K58" s="262"/>
    </row>
    <row r="59" spans="1:11" ht="14.25" customHeight="1">
      <c r="A59" s="119" t="s">
        <v>14</v>
      </c>
      <c r="B59" s="362">
        <v>2647</v>
      </c>
      <c r="C59" s="349" t="s">
        <v>937</v>
      </c>
      <c r="D59" s="362">
        <v>425</v>
      </c>
      <c r="E59" s="121">
        <v>21174.5</v>
      </c>
      <c r="F59" s="362">
        <v>3072</v>
      </c>
      <c r="G59" s="121" t="s">
        <v>938</v>
      </c>
      <c r="H59" s="122" t="s">
        <v>939</v>
      </c>
      <c r="I59" s="122">
        <v>168.72</v>
      </c>
      <c r="J59" s="262"/>
      <c r="K59" s="262"/>
    </row>
    <row r="60" spans="1:16" ht="14.25" customHeight="1">
      <c r="A60" s="119"/>
      <c r="B60" s="363"/>
      <c r="C60" s="363"/>
      <c r="D60" s="363"/>
      <c r="E60" s="363"/>
      <c r="F60" s="363"/>
      <c r="G60" s="363"/>
      <c r="H60" s="363"/>
      <c r="I60" s="363"/>
      <c r="J60" s="262"/>
      <c r="K60" s="262"/>
      <c r="P60" s="375"/>
    </row>
    <row r="61" spans="1:10" ht="14.25" customHeight="1">
      <c r="A61" s="344"/>
      <c r="B61" s="355"/>
      <c r="C61" s="342"/>
      <c r="D61" s="355"/>
      <c r="E61" s="117"/>
      <c r="F61" s="356"/>
      <c r="G61" s="342" t="s">
        <v>119</v>
      </c>
      <c r="H61" s="118"/>
      <c r="I61" s="118"/>
      <c r="J61" s="1"/>
    </row>
    <row r="62" spans="1:10" ht="14.25" customHeight="1">
      <c r="A62" s="344"/>
      <c r="B62" s="355"/>
      <c r="C62" s="342"/>
      <c r="D62" s="355"/>
      <c r="E62" s="114"/>
      <c r="F62" s="117"/>
      <c r="G62" s="359" t="s">
        <v>121</v>
      </c>
      <c r="H62" s="118"/>
      <c r="I62" s="118"/>
      <c r="J62" s="1"/>
    </row>
    <row r="63" spans="1:9" ht="14.25" customHeight="1">
      <c r="A63" s="344"/>
      <c r="B63" s="355"/>
      <c r="C63" s="342"/>
      <c r="D63" s="355"/>
      <c r="E63" s="117"/>
      <c r="F63" s="355"/>
      <c r="G63" s="342"/>
      <c r="H63" s="118"/>
      <c r="I63" s="118"/>
    </row>
    <row r="64" spans="1:9" ht="14.25" customHeight="1">
      <c r="A64" s="329" t="s">
        <v>117</v>
      </c>
      <c r="B64" s="355"/>
      <c r="C64" s="342"/>
      <c r="D64" s="355"/>
      <c r="E64" s="117"/>
      <c r="F64" s="355"/>
      <c r="G64" s="342"/>
      <c r="H64" s="118"/>
      <c r="I64" s="118"/>
    </row>
    <row r="65" spans="1:9" ht="14.25" customHeight="1">
      <c r="A65" s="329" t="s">
        <v>118</v>
      </c>
      <c r="B65" s="355"/>
      <c r="C65" s="342"/>
      <c r="D65" s="355"/>
      <c r="E65" s="117"/>
      <c r="F65" s="355"/>
      <c r="G65" s="342"/>
      <c r="H65" s="118"/>
      <c r="I65" s="118"/>
    </row>
    <row r="66" spans="1:9" ht="14.25" customHeight="1">
      <c r="A66" s="329" t="s">
        <v>120</v>
      </c>
      <c r="B66" s="355"/>
      <c r="C66" s="342"/>
      <c r="D66" s="355"/>
      <c r="E66" s="117"/>
      <c r="F66" s="355"/>
      <c r="G66" s="342"/>
      <c r="H66" s="118"/>
      <c r="I66" s="118"/>
    </row>
    <row r="67" spans="1:9" ht="14.25" customHeight="1">
      <c r="A67" s="329" t="s">
        <v>122</v>
      </c>
      <c r="B67" s="355"/>
      <c r="C67" s="342"/>
      <c r="D67" s="355"/>
      <c r="E67" s="117"/>
      <c r="F67" s="355"/>
      <c r="G67" s="342"/>
      <c r="H67" s="118"/>
      <c r="I67" s="118"/>
    </row>
    <row r="68" spans="1:9" ht="14.25" customHeight="1">
      <c r="A68" s="329" t="s">
        <v>123</v>
      </c>
      <c r="B68" s="355"/>
      <c r="C68" s="342"/>
      <c r="D68" s="355"/>
      <c r="E68" s="117"/>
      <c r="F68" s="355"/>
      <c r="G68" s="342"/>
      <c r="H68" s="118"/>
      <c r="I68" s="118"/>
    </row>
  </sheetData>
  <sheetProtection/>
  <printOptions/>
  <pageMargins left="0.95" right="0.95" top="0.58" bottom="0.5" header="0.3" footer="0.3"/>
  <pageSetup horizontalDpi="600" verticalDpi="600" orientation="portrait" paperSize="9" scale="80" r:id="rId1"/>
  <headerFooter>
    <oddHeader>&amp;RProduce Brokers Limited
1349/A, North Agrabad, D.T. Road Askarabad (1st floor)
Chattogram-4224
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0.140625" style="373" customWidth="1"/>
    <col min="2" max="2" width="7.140625" style="31" customWidth="1"/>
    <col min="3" max="3" width="10.28125" style="360" customWidth="1"/>
    <col min="4" max="4" width="7.7109375" style="31" customWidth="1"/>
    <col min="5" max="5" width="9.421875" style="244" customWidth="1"/>
    <col min="6" max="6" width="5.421875" style="31" customWidth="1"/>
    <col min="7" max="7" width="10.00390625" style="360" customWidth="1"/>
    <col min="8" max="8" width="13.28125" style="48" customWidth="1"/>
    <col min="9" max="9" width="7.7109375" style="48" customWidth="1"/>
    <col min="10" max="15" width="8.8515625" style="373" customWidth="1"/>
    <col min="16" max="16" width="12.7109375" style="373" bestFit="1" customWidth="1"/>
    <col min="17" max="16384" width="8.8515625" style="373" customWidth="1"/>
  </cols>
  <sheetData>
    <row r="1" spans="1:11" ht="14.25" customHeight="1">
      <c r="A1" s="329" t="s">
        <v>860</v>
      </c>
      <c r="B1" s="330"/>
      <c r="C1" s="331"/>
      <c r="D1" s="330"/>
      <c r="E1" s="332"/>
      <c r="F1" s="330"/>
      <c r="G1" s="331"/>
      <c r="H1" s="333"/>
      <c r="I1" s="333"/>
      <c r="J1" s="262"/>
      <c r="K1" s="262"/>
    </row>
    <row r="2" spans="1:11" ht="14.25" customHeight="1">
      <c r="A2" s="329" t="s">
        <v>861</v>
      </c>
      <c r="B2" s="330"/>
      <c r="C2" s="331"/>
      <c r="D2" s="330"/>
      <c r="E2" s="332"/>
      <c r="F2" s="330"/>
      <c r="G2" s="331"/>
      <c r="H2" s="333"/>
      <c r="I2" s="333"/>
      <c r="J2" s="262"/>
      <c r="K2" s="262"/>
    </row>
    <row r="3" spans="1:11" ht="14.25" customHeight="1">
      <c r="A3" s="329" t="s">
        <v>110</v>
      </c>
      <c r="B3" s="330"/>
      <c r="C3" s="331"/>
      <c r="D3" s="330"/>
      <c r="E3" s="332"/>
      <c r="F3" s="330"/>
      <c r="G3" s="331"/>
      <c r="H3" s="333"/>
      <c r="I3" s="333"/>
      <c r="J3" s="262"/>
      <c r="K3" s="262"/>
    </row>
    <row r="4" spans="1:11" ht="14.25" customHeight="1">
      <c r="A4" s="329" t="s">
        <v>5</v>
      </c>
      <c r="B4" s="330"/>
      <c r="C4" s="331"/>
      <c r="D4" s="330"/>
      <c r="E4" s="332"/>
      <c r="F4" s="330"/>
      <c r="G4" s="331"/>
      <c r="H4" s="333"/>
      <c r="I4" s="333"/>
      <c r="J4" s="262"/>
      <c r="K4" s="262"/>
    </row>
    <row r="5" spans="1:11" ht="14.25" customHeight="1">
      <c r="A5" s="329" t="s">
        <v>6</v>
      </c>
      <c r="B5" s="330"/>
      <c r="C5" s="331"/>
      <c r="D5" s="330"/>
      <c r="E5" s="334"/>
      <c r="F5" s="330"/>
      <c r="G5" s="331"/>
      <c r="H5" s="333"/>
      <c r="I5" s="333"/>
      <c r="J5" s="262"/>
      <c r="K5" s="262"/>
    </row>
    <row r="6" spans="1:11" ht="14.25" customHeight="1">
      <c r="A6" s="329" t="s">
        <v>111</v>
      </c>
      <c r="B6" s="330"/>
      <c r="C6" s="331"/>
      <c r="D6" s="330"/>
      <c r="E6" s="332"/>
      <c r="F6" s="330"/>
      <c r="G6" s="331"/>
      <c r="H6" s="333"/>
      <c r="I6" s="333"/>
      <c r="J6" s="262"/>
      <c r="K6" s="262"/>
    </row>
    <row r="7" spans="1:11" ht="14.25" customHeight="1">
      <c r="A7" s="329" t="s">
        <v>112</v>
      </c>
      <c r="B7" s="330"/>
      <c r="C7" s="331"/>
      <c r="D7" s="330"/>
      <c r="E7" s="335" t="s">
        <v>113</v>
      </c>
      <c r="F7" s="330"/>
      <c r="G7" s="331"/>
      <c r="H7" s="333"/>
      <c r="I7" s="333"/>
      <c r="J7" s="262"/>
      <c r="K7" s="262"/>
    </row>
    <row r="8" spans="1:11" ht="14.25" customHeight="1">
      <c r="A8" s="336" t="s">
        <v>862</v>
      </c>
      <c r="B8" s="337"/>
      <c r="C8" s="338"/>
      <c r="D8" s="337"/>
      <c r="E8" s="339"/>
      <c r="F8" s="337"/>
      <c r="G8" s="338"/>
      <c r="H8" s="340"/>
      <c r="I8" s="340"/>
      <c r="J8" s="262"/>
      <c r="K8" s="262"/>
    </row>
    <row r="9" spans="1:11" ht="14.25" customHeight="1">
      <c r="A9" s="114"/>
      <c r="B9" s="341" t="s">
        <v>45</v>
      </c>
      <c r="C9" s="342"/>
      <c r="D9" s="341" t="s">
        <v>46</v>
      </c>
      <c r="E9" s="342"/>
      <c r="F9" s="341"/>
      <c r="G9" s="343" t="s">
        <v>47</v>
      </c>
      <c r="H9" s="118"/>
      <c r="I9" s="118"/>
      <c r="J9" s="262"/>
      <c r="K9" s="262"/>
    </row>
    <row r="10" spans="1:11" ht="14.25" customHeight="1">
      <c r="A10" s="344" t="s">
        <v>461</v>
      </c>
      <c r="B10" s="345" t="s">
        <v>49</v>
      </c>
      <c r="C10" s="346" t="s">
        <v>50</v>
      </c>
      <c r="D10" s="345" t="s">
        <v>49</v>
      </c>
      <c r="E10" s="346" t="s">
        <v>50</v>
      </c>
      <c r="F10" s="345" t="s">
        <v>49</v>
      </c>
      <c r="G10" s="346" t="s">
        <v>50</v>
      </c>
      <c r="H10" s="347" t="s">
        <v>51</v>
      </c>
      <c r="I10" s="347" t="s">
        <v>52</v>
      </c>
      <c r="J10" s="262"/>
      <c r="K10" s="262"/>
    </row>
    <row r="11" spans="1:11" ht="14.25" customHeight="1">
      <c r="A11" s="119" t="s">
        <v>466</v>
      </c>
      <c r="B11" s="348"/>
      <c r="C11" s="343">
        <v>0</v>
      </c>
      <c r="D11" s="115"/>
      <c r="E11" s="121"/>
      <c r="F11" s="115"/>
      <c r="G11" s="343"/>
      <c r="H11" s="122"/>
      <c r="I11" s="350"/>
      <c r="J11" s="262"/>
      <c r="K11" s="262"/>
    </row>
    <row r="12" spans="1:11" ht="14.25" customHeight="1">
      <c r="A12" s="114" t="s">
        <v>14</v>
      </c>
      <c r="B12" s="122">
        <f aca="true" t="shared" si="0" ref="B12:H12">SUM(B11)</f>
        <v>0</v>
      </c>
      <c r="C12" s="343">
        <f t="shared" si="0"/>
        <v>0</v>
      </c>
      <c r="D12" s="341">
        <f t="shared" si="0"/>
        <v>0</v>
      </c>
      <c r="E12" s="343">
        <f t="shared" si="0"/>
        <v>0</v>
      </c>
      <c r="F12" s="341">
        <f t="shared" si="0"/>
        <v>0</v>
      </c>
      <c r="G12" s="343">
        <f t="shared" si="0"/>
        <v>0</v>
      </c>
      <c r="H12" s="122">
        <f t="shared" si="0"/>
        <v>0</v>
      </c>
      <c r="I12" s="122" t="e">
        <f>H12/G12</f>
        <v>#DIV/0!</v>
      </c>
      <c r="J12" s="262"/>
      <c r="K12" s="262"/>
    </row>
    <row r="13" spans="1:11" ht="14.25" customHeight="1">
      <c r="A13" s="344" t="s">
        <v>462</v>
      </c>
      <c r="B13" s="345" t="s">
        <v>49</v>
      </c>
      <c r="C13" s="346" t="s">
        <v>50</v>
      </c>
      <c r="D13" s="345" t="s">
        <v>49</v>
      </c>
      <c r="E13" s="346" t="s">
        <v>50</v>
      </c>
      <c r="F13" s="345" t="s">
        <v>49</v>
      </c>
      <c r="G13" s="346" t="s">
        <v>50</v>
      </c>
      <c r="H13" s="347" t="s">
        <v>51</v>
      </c>
      <c r="I13" s="347" t="s">
        <v>52</v>
      </c>
      <c r="J13" s="262"/>
      <c r="K13" s="262"/>
    </row>
    <row r="14" spans="1:11" ht="14.25" customHeight="1">
      <c r="A14" s="119" t="s">
        <v>319</v>
      </c>
      <c r="B14" s="362">
        <v>49</v>
      </c>
      <c r="C14" s="349">
        <v>2442.5</v>
      </c>
      <c r="D14" s="362">
        <v>0</v>
      </c>
      <c r="E14" s="121">
        <v>0</v>
      </c>
      <c r="F14" s="362">
        <v>49</v>
      </c>
      <c r="G14" s="121">
        <v>2442.5</v>
      </c>
      <c r="H14" s="122" t="s">
        <v>863</v>
      </c>
      <c r="I14" s="122">
        <v>196.14</v>
      </c>
      <c r="J14" s="262"/>
      <c r="K14" s="262"/>
    </row>
    <row r="15" spans="1:11" ht="14.25" customHeight="1">
      <c r="A15" s="119" t="s">
        <v>53</v>
      </c>
      <c r="B15" s="363">
        <v>1338</v>
      </c>
      <c r="C15" s="349">
        <v>66762</v>
      </c>
      <c r="D15" s="362">
        <v>40</v>
      </c>
      <c r="E15" s="121">
        <v>1996.8</v>
      </c>
      <c r="F15" s="363">
        <v>1378</v>
      </c>
      <c r="G15" s="121">
        <v>68758.8</v>
      </c>
      <c r="H15" s="122" t="s">
        <v>864</v>
      </c>
      <c r="I15" s="122">
        <v>160.27</v>
      </c>
      <c r="J15" s="262"/>
      <c r="K15" s="262"/>
    </row>
    <row r="16" spans="1:11" ht="14.25" customHeight="1">
      <c r="A16" s="119" t="s">
        <v>322</v>
      </c>
      <c r="B16" s="362">
        <v>60</v>
      </c>
      <c r="C16" s="349">
        <v>2989.5</v>
      </c>
      <c r="D16" s="362">
        <v>40</v>
      </c>
      <c r="E16" s="121">
        <v>1996.8</v>
      </c>
      <c r="F16" s="362">
        <v>100</v>
      </c>
      <c r="G16" s="121">
        <v>4986.3</v>
      </c>
      <c r="H16" s="122" t="s">
        <v>865</v>
      </c>
      <c r="I16" s="122">
        <v>199.74</v>
      </c>
      <c r="J16" s="262"/>
      <c r="K16" s="262"/>
    </row>
    <row r="17" spans="1:11" ht="14.25" customHeight="1">
      <c r="A17" s="119" t="s">
        <v>55</v>
      </c>
      <c r="B17" s="362">
        <v>10</v>
      </c>
      <c r="C17" s="349">
        <v>498.5</v>
      </c>
      <c r="D17" s="362">
        <v>0</v>
      </c>
      <c r="E17" s="121">
        <v>0</v>
      </c>
      <c r="F17" s="362">
        <v>10</v>
      </c>
      <c r="G17" s="121">
        <v>498.5</v>
      </c>
      <c r="H17" s="122">
        <v>61315.5</v>
      </c>
      <c r="I17" s="122">
        <v>123</v>
      </c>
      <c r="J17" s="262"/>
      <c r="K17" s="262"/>
    </row>
    <row r="18" spans="1:11" ht="14.25" customHeight="1">
      <c r="A18" s="119" t="s">
        <v>128</v>
      </c>
      <c r="B18" s="362">
        <v>65</v>
      </c>
      <c r="C18" s="349">
        <v>3242.5</v>
      </c>
      <c r="D18" s="362">
        <v>0</v>
      </c>
      <c r="E18" s="121">
        <v>0</v>
      </c>
      <c r="F18" s="362">
        <v>65</v>
      </c>
      <c r="G18" s="121">
        <v>3242.5</v>
      </c>
      <c r="H18" s="122" t="s">
        <v>866</v>
      </c>
      <c r="I18" s="122">
        <v>213.9</v>
      </c>
      <c r="J18" s="262"/>
      <c r="K18" s="262"/>
    </row>
    <row r="19" spans="1:11" ht="14.25" customHeight="1">
      <c r="A19" s="119" t="s">
        <v>171</v>
      </c>
      <c r="B19" s="362">
        <v>20</v>
      </c>
      <c r="C19" s="349">
        <v>998.5</v>
      </c>
      <c r="D19" s="362">
        <v>0</v>
      </c>
      <c r="E19" s="121">
        <v>0</v>
      </c>
      <c r="F19" s="362">
        <v>20</v>
      </c>
      <c r="G19" s="121">
        <v>998.5</v>
      </c>
      <c r="H19" s="122" t="s">
        <v>867</v>
      </c>
      <c r="I19" s="122">
        <v>265.49</v>
      </c>
      <c r="J19" s="262"/>
      <c r="K19" s="262"/>
    </row>
    <row r="20" spans="1:11" ht="14.25" customHeight="1">
      <c r="A20" s="119" t="s">
        <v>640</v>
      </c>
      <c r="B20" s="114"/>
      <c r="C20" s="349">
        <v>0</v>
      </c>
      <c r="D20" s="362">
        <v>80</v>
      </c>
      <c r="E20" s="121">
        <v>3993</v>
      </c>
      <c r="F20" s="362">
        <v>80</v>
      </c>
      <c r="G20" s="121">
        <v>3993</v>
      </c>
      <c r="H20" s="122" t="s">
        <v>868</v>
      </c>
      <c r="I20" s="122">
        <v>137.8</v>
      </c>
      <c r="J20" s="262"/>
      <c r="K20" s="262"/>
    </row>
    <row r="21" spans="1:11" ht="14.25" customHeight="1">
      <c r="A21" s="119" t="s">
        <v>176</v>
      </c>
      <c r="B21" s="114"/>
      <c r="C21" s="349">
        <v>0</v>
      </c>
      <c r="D21" s="362">
        <v>50</v>
      </c>
      <c r="E21" s="121">
        <v>2496</v>
      </c>
      <c r="F21" s="362">
        <v>50</v>
      </c>
      <c r="G21" s="121">
        <v>2496</v>
      </c>
      <c r="H21" s="122" t="s">
        <v>869</v>
      </c>
      <c r="I21" s="122">
        <v>210.6</v>
      </c>
      <c r="J21" s="262"/>
      <c r="K21" s="262"/>
    </row>
    <row r="22" spans="1:11" ht="14.25" customHeight="1">
      <c r="A22" s="119" t="s">
        <v>475</v>
      </c>
      <c r="B22" s="362">
        <v>210</v>
      </c>
      <c r="C22" s="349">
        <v>10479</v>
      </c>
      <c r="D22" s="362">
        <v>0</v>
      </c>
      <c r="E22" s="121">
        <v>0</v>
      </c>
      <c r="F22" s="362">
        <v>210</v>
      </c>
      <c r="G22" s="121">
        <v>10479</v>
      </c>
      <c r="H22" s="122" t="s">
        <v>870</v>
      </c>
      <c r="I22" s="122">
        <v>194.13</v>
      </c>
      <c r="J22" s="262"/>
      <c r="K22" s="262"/>
    </row>
    <row r="23" spans="1:11" ht="14.25" customHeight="1">
      <c r="A23" s="119" t="s">
        <v>61</v>
      </c>
      <c r="B23" s="362">
        <f>41+120</f>
        <v>161</v>
      </c>
      <c r="C23" s="349">
        <f>2045.5+5986.5</f>
        <v>8032</v>
      </c>
      <c r="D23" s="362">
        <v>0</v>
      </c>
      <c r="E23" s="121">
        <v>0</v>
      </c>
      <c r="F23" s="362">
        <f>41+120</f>
        <v>161</v>
      </c>
      <c r="G23" s="121">
        <f>2045.5+5986.5</f>
        <v>8032</v>
      </c>
      <c r="H23" s="122">
        <f>388880+833003</f>
        <v>1221883</v>
      </c>
      <c r="I23" s="122">
        <f>H23/G23</f>
        <v>152.12686752988049</v>
      </c>
      <c r="J23" s="262"/>
      <c r="K23" s="262"/>
    </row>
    <row r="24" spans="1:11" ht="14.25" customHeight="1">
      <c r="A24" s="119" t="s">
        <v>63</v>
      </c>
      <c r="B24" s="362">
        <v>20</v>
      </c>
      <c r="C24" s="349">
        <v>998.5</v>
      </c>
      <c r="D24" s="362">
        <v>0</v>
      </c>
      <c r="E24" s="121">
        <v>0</v>
      </c>
      <c r="F24" s="362">
        <v>20</v>
      </c>
      <c r="G24" s="121">
        <v>998.5</v>
      </c>
      <c r="H24" s="122" t="s">
        <v>871</v>
      </c>
      <c r="I24" s="122">
        <v>105</v>
      </c>
      <c r="J24" s="262"/>
      <c r="K24" s="262"/>
    </row>
    <row r="25" spans="1:11" ht="14.25" customHeight="1">
      <c r="A25" s="119" t="s">
        <v>872</v>
      </c>
      <c r="B25" s="114"/>
      <c r="C25" s="349">
        <v>0</v>
      </c>
      <c r="D25" s="362">
        <v>10</v>
      </c>
      <c r="E25" s="121">
        <v>499.2</v>
      </c>
      <c r="F25" s="362">
        <v>10</v>
      </c>
      <c r="G25" s="121">
        <v>499.2</v>
      </c>
      <c r="H25" s="122">
        <v>67392</v>
      </c>
      <c r="I25" s="122">
        <v>135</v>
      </c>
      <c r="J25" s="262"/>
      <c r="K25" s="262"/>
    </row>
    <row r="26" spans="1:11" ht="14.25" customHeight="1">
      <c r="A26" s="119" t="s">
        <v>136</v>
      </c>
      <c r="B26" s="362">
        <v>10</v>
      </c>
      <c r="C26" s="349">
        <v>498.5</v>
      </c>
      <c r="D26" s="362">
        <v>0</v>
      </c>
      <c r="E26" s="121">
        <v>0</v>
      </c>
      <c r="F26" s="362">
        <v>10</v>
      </c>
      <c r="G26" s="121">
        <v>498.5</v>
      </c>
      <c r="H26" s="122">
        <v>54835</v>
      </c>
      <c r="I26" s="122">
        <v>110</v>
      </c>
      <c r="J26" s="262"/>
      <c r="K26" s="262"/>
    </row>
    <row r="27" spans="1:11" ht="14.25" customHeight="1">
      <c r="A27" s="119" t="s">
        <v>67</v>
      </c>
      <c r="B27" s="362">
        <v>215</v>
      </c>
      <c r="C27" s="349">
        <v>10733.5</v>
      </c>
      <c r="D27" s="362">
        <v>35</v>
      </c>
      <c r="E27" s="121">
        <v>1747.1</v>
      </c>
      <c r="F27" s="362">
        <v>250</v>
      </c>
      <c r="G27" s="121">
        <v>12480.6</v>
      </c>
      <c r="H27" s="122" t="s">
        <v>873</v>
      </c>
      <c r="I27" s="122">
        <v>198.28</v>
      </c>
      <c r="J27" s="262"/>
      <c r="K27" s="262"/>
    </row>
    <row r="28" spans="1:11" ht="14.25" customHeight="1">
      <c r="A28" s="119" t="s">
        <v>541</v>
      </c>
      <c r="B28" s="362">
        <v>208</v>
      </c>
      <c r="C28" s="349">
        <v>10385</v>
      </c>
      <c r="D28" s="362">
        <v>0</v>
      </c>
      <c r="E28" s="121">
        <v>0</v>
      </c>
      <c r="F28" s="362">
        <v>208</v>
      </c>
      <c r="G28" s="121">
        <v>10385</v>
      </c>
      <c r="H28" s="122" t="s">
        <v>874</v>
      </c>
      <c r="I28" s="122">
        <v>197.77</v>
      </c>
      <c r="J28" s="262"/>
      <c r="K28" s="262"/>
    </row>
    <row r="29" spans="1:11" ht="14.25" customHeight="1">
      <c r="A29" s="119" t="s">
        <v>69</v>
      </c>
      <c r="B29" s="362">
        <v>210</v>
      </c>
      <c r="C29" s="349">
        <v>10465.5</v>
      </c>
      <c r="D29" s="362">
        <v>0</v>
      </c>
      <c r="E29" s="121">
        <v>0</v>
      </c>
      <c r="F29" s="362">
        <v>210</v>
      </c>
      <c r="G29" s="121">
        <v>10465.5</v>
      </c>
      <c r="H29" s="122" t="s">
        <v>875</v>
      </c>
      <c r="I29" s="122">
        <v>114.24</v>
      </c>
      <c r="J29" s="262"/>
      <c r="K29" s="262"/>
    </row>
    <row r="30" spans="1:11" ht="14.25" customHeight="1">
      <c r="A30" s="119" t="s">
        <v>71</v>
      </c>
      <c r="B30" s="362">
        <v>860</v>
      </c>
      <c r="C30" s="349">
        <v>42923.5</v>
      </c>
      <c r="D30" s="362">
        <v>100</v>
      </c>
      <c r="E30" s="121">
        <v>4990.4</v>
      </c>
      <c r="F30" s="362">
        <v>960</v>
      </c>
      <c r="G30" s="121">
        <v>47913.9</v>
      </c>
      <c r="H30" s="122" t="s">
        <v>876</v>
      </c>
      <c r="I30" s="122">
        <v>188.12</v>
      </c>
      <c r="J30" s="262"/>
      <c r="K30" s="262"/>
    </row>
    <row r="31" spans="1:11" ht="14.25" customHeight="1">
      <c r="A31" s="119" t="s">
        <v>648</v>
      </c>
      <c r="B31" s="362">
        <v>30</v>
      </c>
      <c r="C31" s="349">
        <v>1491</v>
      </c>
      <c r="D31" s="362">
        <v>0</v>
      </c>
      <c r="E31" s="121">
        <v>0</v>
      </c>
      <c r="F31" s="362">
        <v>30</v>
      </c>
      <c r="G31" s="121">
        <v>1491</v>
      </c>
      <c r="H31" s="122" t="s">
        <v>877</v>
      </c>
      <c r="I31" s="122">
        <v>106.67</v>
      </c>
      <c r="J31" s="262"/>
      <c r="K31" s="262"/>
    </row>
    <row r="32" spans="1:11" ht="14.25" customHeight="1">
      <c r="A32" s="119" t="s">
        <v>141</v>
      </c>
      <c r="B32" s="362">
        <v>30</v>
      </c>
      <c r="C32" s="349">
        <v>1493.5</v>
      </c>
      <c r="D32" s="362">
        <v>55</v>
      </c>
      <c r="E32" s="121">
        <v>2744.5</v>
      </c>
      <c r="F32" s="362">
        <v>85</v>
      </c>
      <c r="G32" s="121">
        <v>4238</v>
      </c>
      <c r="H32" s="122" t="s">
        <v>878</v>
      </c>
      <c r="I32" s="122">
        <v>131.76</v>
      </c>
      <c r="J32" s="262"/>
      <c r="K32" s="262"/>
    </row>
    <row r="33" spans="1:11" ht="14.25" customHeight="1">
      <c r="A33" s="119" t="s">
        <v>73</v>
      </c>
      <c r="B33" s="362">
        <v>10</v>
      </c>
      <c r="C33" s="349">
        <v>498.5</v>
      </c>
      <c r="D33" s="362">
        <v>0</v>
      </c>
      <c r="E33" s="121">
        <v>0</v>
      </c>
      <c r="F33" s="362">
        <v>10</v>
      </c>
      <c r="G33" s="121">
        <v>498.5</v>
      </c>
      <c r="H33" s="122">
        <v>91724</v>
      </c>
      <c r="I33" s="122">
        <v>184</v>
      </c>
      <c r="J33" s="262"/>
      <c r="K33" s="262"/>
    </row>
    <row r="34" spans="1:11" ht="14.25" customHeight="1">
      <c r="A34" s="119" t="s">
        <v>75</v>
      </c>
      <c r="B34" s="362">
        <v>5</v>
      </c>
      <c r="C34" s="349">
        <v>250</v>
      </c>
      <c r="D34" s="362">
        <v>5</v>
      </c>
      <c r="E34" s="121">
        <v>250</v>
      </c>
      <c r="F34" s="362">
        <v>10</v>
      </c>
      <c r="G34" s="121">
        <v>500</v>
      </c>
      <c r="H34" s="122" t="s">
        <v>879</v>
      </c>
      <c r="I34" s="122">
        <v>230.5</v>
      </c>
      <c r="J34" s="262"/>
      <c r="K34" s="262"/>
    </row>
    <row r="35" spans="1:11" ht="14.25" customHeight="1">
      <c r="A35" s="119" t="s">
        <v>77</v>
      </c>
      <c r="B35" s="362">
        <v>50</v>
      </c>
      <c r="C35" s="349">
        <v>2489.5</v>
      </c>
      <c r="D35" s="362">
        <v>50</v>
      </c>
      <c r="E35" s="121">
        <v>2494.6</v>
      </c>
      <c r="F35" s="362">
        <v>100</v>
      </c>
      <c r="G35" s="121">
        <v>4984.1</v>
      </c>
      <c r="H35" s="122" t="s">
        <v>880</v>
      </c>
      <c r="I35" s="122">
        <v>133.99</v>
      </c>
      <c r="J35" s="262"/>
      <c r="K35" s="262"/>
    </row>
    <row r="36" spans="1:11" ht="14.25" customHeight="1">
      <c r="A36" s="119" t="s">
        <v>445</v>
      </c>
      <c r="B36" s="114"/>
      <c r="C36" s="349">
        <v>0</v>
      </c>
      <c r="D36" s="362">
        <v>13</v>
      </c>
      <c r="E36" s="121">
        <v>646.5</v>
      </c>
      <c r="F36" s="362">
        <v>13</v>
      </c>
      <c r="G36" s="121">
        <v>646.5</v>
      </c>
      <c r="H36" s="122" t="s">
        <v>881</v>
      </c>
      <c r="I36" s="122">
        <v>246.08</v>
      </c>
      <c r="J36" s="262"/>
      <c r="K36" s="262"/>
    </row>
    <row r="37" spans="1:11" ht="14.25" customHeight="1">
      <c r="A37" s="119" t="s">
        <v>882</v>
      </c>
      <c r="B37" s="362">
        <v>45</v>
      </c>
      <c r="C37" s="349">
        <v>2247</v>
      </c>
      <c r="D37" s="362">
        <v>10</v>
      </c>
      <c r="E37" s="121">
        <v>500</v>
      </c>
      <c r="F37" s="362">
        <v>55</v>
      </c>
      <c r="G37" s="121">
        <v>2747</v>
      </c>
      <c r="H37" s="122" t="s">
        <v>883</v>
      </c>
      <c r="I37" s="122">
        <v>149.04</v>
      </c>
      <c r="J37" s="262"/>
      <c r="K37" s="262"/>
    </row>
    <row r="38" spans="1:11" ht="14.25" customHeight="1">
      <c r="A38" s="119" t="s">
        <v>144</v>
      </c>
      <c r="B38" s="362">
        <v>20</v>
      </c>
      <c r="C38" s="349">
        <v>997</v>
      </c>
      <c r="D38" s="362">
        <v>0</v>
      </c>
      <c r="E38" s="121">
        <v>0</v>
      </c>
      <c r="F38" s="362">
        <v>20</v>
      </c>
      <c r="G38" s="121">
        <v>997</v>
      </c>
      <c r="H38" s="122" t="s">
        <v>884</v>
      </c>
      <c r="I38" s="122">
        <v>106</v>
      </c>
      <c r="J38" s="262"/>
      <c r="K38" s="262"/>
    </row>
    <row r="39" spans="1:11" ht="14.25" customHeight="1">
      <c r="A39" s="119" t="s">
        <v>221</v>
      </c>
      <c r="B39" s="362">
        <v>110</v>
      </c>
      <c r="C39" s="349">
        <v>5491</v>
      </c>
      <c r="D39" s="362">
        <v>60</v>
      </c>
      <c r="E39" s="121">
        <v>2994.4</v>
      </c>
      <c r="F39" s="362">
        <v>170</v>
      </c>
      <c r="G39" s="121">
        <v>8485.4</v>
      </c>
      <c r="H39" s="122" t="s">
        <v>885</v>
      </c>
      <c r="I39" s="122">
        <v>162.47</v>
      </c>
      <c r="J39" s="262"/>
      <c r="K39" s="262"/>
    </row>
    <row r="40" spans="1:11" ht="14.25" customHeight="1">
      <c r="A40" s="119" t="s">
        <v>81</v>
      </c>
      <c r="B40" s="362">
        <v>31</v>
      </c>
      <c r="C40" s="349">
        <v>1547</v>
      </c>
      <c r="D40" s="362">
        <v>0</v>
      </c>
      <c r="E40" s="121">
        <v>0</v>
      </c>
      <c r="F40" s="362">
        <v>31</v>
      </c>
      <c r="G40" s="121">
        <v>1547</v>
      </c>
      <c r="H40" s="122" t="s">
        <v>886</v>
      </c>
      <c r="I40" s="122">
        <v>175.32</v>
      </c>
      <c r="J40" s="262"/>
      <c r="K40" s="262"/>
    </row>
    <row r="41" spans="1:11" ht="14.25" customHeight="1">
      <c r="A41" s="119" t="s">
        <v>83</v>
      </c>
      <c r="B41" s="362">
        <v>195</v>
      </c>
      <c r="C41" s="349">
        <v>9727.5</v>
      </c>
      <c r="D41" s="362">
        <v>25</v>
      </c>
      <c r="E41" s="121">
        <v>1247.6</v>
      </c>
      <c r="F41" s="362">
        <v>220</v>
      </c>
      <c r="G41" s="121">
        <v>10975.1</v>
      </c>
      <c r="H41" s="122" t="s">
        <v>887</v>
      </c>
      <c r="I41" s="122">
        <v>181.73</v>
      </c>
      <c r="J41" s="262"/>
      <c r="K41" s="262"/>
    </row>
    <row r="42" spans="1:11" ht="14.25" customHeight="1">
      <c r="A42" s="119" t="s">
        <v>85</v>
      </c>
      <c r="B42" s="362">
        <f>120+200</f>
        <v>320</v>
      </c>
      <c r="C42" s="349">
        <f>5989.5+9970</f>
        <v>15959.5</v>
      </c>
      <c r="D42" s="362">
        <v>10</v>
      </c>
      <c r="E42" s="121">
        <v>499.2</v>
      </c>
      <c r="F42" s="362">
        <f>120+210</f>
        <v>330</v>
      </c>
      <c r="G42" s="121">
        <f>5989.5+10469.2</f>
        <v>16458.7</v>
      </c>
      <c r="H42" s="122">
        <f>837810+1192499.5</f>
        <v>2030309.5</v>
      </c>
      <c r="I42" s="122">
        <f>H42/G42</f>
        <v>123.35782899013896</v>
      </c>
      <c r="J42" s="262"/>
      <c r="K42" s="262"/>
    </row>
    <row r="43" spans="1:11" ht="14.25" customHeight="1">
      <c r="A43" s="119" t="s">
        <v>344</v>
      </c>
      <c r="B43" s="362">
        <v>10</v>
      </c>
      <c r="C43" s="349">
        <v>500</v>
      </c>
      <c r="D43" s="362">
        <v>0</v>
      </c>
      <c r="E43" s="121">
        <v>0</v>
      </c>
      <c r="F43" s="362">
        <v>10</v>
      </c>
      <c r="G43" s="121">
        <v>500</v>
      </c>
      <c r="H43" s="122" t="s">
        <v>618</v>
      </c>
      <c r="I43" s="122">
        <v>275</v>
      </c>
      <c r="J43" s="262"/>
      <c r="K43" s="262"/>
    </row>
    <row r="44" spans="1:11" ht="14.25" customHeight="1">
      <c r="A44" s="119" t="s">
        <v>150</v>
      </c>
      <c r="B44" s="362">
        <v>10</v>
      </c>
      <c r="C44" s="349">
        <v>498.5</v>
      </c>
      <c r="D44" s="362">
        <v>40</v>
      </c>
      <c r="E44" s="121">
        <v>1995.8</v>
      </c>
      <c r="F44" s="362">
        <v>50</v>
      </c>
      <c r="G44" s="121">
        <v>2494.3</v>
      </c>
      <c r="H44" s="122" t="s">
        <v>888</v>
      </c>
      <c r="I44" s="122">
        <v>140.19</v>
      </c>
      <c r="J44" s="262"/>
      <c r="K44" s="262"/>
    </row>
    <row r="45" spans="1:11" ht="14.25" customHeight="1">
      <c r="A45" s="119" t="s">
        <v>226</v>
      </c>
      <c r="B45" s="114"/>
      <c r="C45" s="349">
        <v>0</v>
      </c>
      <c r="D45" s="362">
        <v>10</v>
      </c>
      <c r="E45" s="121">
        <v>499.2</v>
      </c>
      <c r="F45" s="362">
        <v>10</v>
      </c>
      <c r="G45" s="121">
        <v>499.2</v>
      </c>
      <c r="H45" s="122">
        <v>72384</v>
      </c>
      <c r="I45" s="122">
        <v>145</v>
      </c>
      <c r="J45" s="262"/>
      <c r="K45" s="262"/>
    </row>
    <row r="46" spans="1:11" ht="14.25" customHeight="1">
      <c r="A46" s="119" t="s">
        <v>90</v>
      </c>
      <c r="B46" s="362">
        <v>10</v>
      </c>
      <c r="C46" s="349">
        <v>498.5</v>
      </c>
      <c r="D46" s="362">
        <v>0</v>
      </c>
      <c r="E46" s="121">
        <v>0</v>
      </c>
      <c r="F46" s="362">
        <v>10</v>
      </c>
      <c r="G46" s="121">
        <v>498.5</v>
      </c>
      <c r="H46" s="122">
        <v>52342.5</v>
      </c>
      <c r="I46" s="122">
        <v>105</v>
      </c>
      <c r="J46" s="262"/>
      <c r="K46" s="262"/>
    </row>
    <row r="47" spans="1:11" ht="14.25" customHeight="1">
      <c r="A47" s="119" t="s">
        <v>155</v>
      </c>
      <c r="B47" s="362">
        <v>45</v>
      </c>
      <c r="C47" s="349">
        <v>2244</v>
      </c>
      <c r="D47" s="362">
        <v>0</v>
      </c>
      <c r="E47" s="121">
        <v>0</v>
      </c>
      <c r="F47" s="362">
        <v>45</v>
      </c>
      <c r="G47" s="121">
        <v>2244</v>
      </c>
      <c r="H47" s="122" t="s">
        <v>889</v>
      </c>
      <c r="I47" s="122">
        <v>125.33</v>
      </c>
      <c r="J47" s="262"/>
      <c r="K47" s="262"/>
    </row>
    <row r="48" spans="1:11" ht="14.25" customHeight="1">
      <c r="A48" s="119" t="s">
        <v>92</v>
      </c>
      <c r="B48" s="362">
        <v>415</v>
      </c>
      <c r="C48" s="349">
        <v>20708</v>
      </c>
      <c r="D48" s="362">
        <f>20+15</f>
        <v>35</v>
      </c>
      <c r="E48" s="121">
        <f>998.4+749.2</f>
        <v>1747.6</v>
      </c>
      <c r="F48" s="362">
        <f>435+15</f>
        <v>450</v>
      </c>
      <c r="G48" s="121">
        <f>21706.4+749.2</f>
        <v>22455.600000000002</v>
      </c>
      <c r="H48" s="122">
        <f>2795947.6+101142</f>
        <v>2897089.6</v>
      </c>
      <c r="I48" s="122">
        <f>H48/G48</f>
        <v>129.0141256523985</v>
      </c>
      <c r="J48" s="262"/>
      <c r="K48" s="262"/>
    </row>
    <row r="49" spans="1:11" ht="14.25" customHeight="1">
      <c r="A49" s="119" t="s">
        <v>229</v>
      </c>
      <c r="B49" s="362">
        <v>80</v>
      </c>
      <c r="C49" s="349">
        <v>3986.5</v>
      </c>
      <c r="D49" s="362">
        <v>0</v>
      </c>
      <c r="E49" s="121">
        <v>0</v>
      </c>
      <c r="F49" s="362">
        <v>80</v>
      </c>
      <c r="G49" s="121">
        <v>3986.5</v>
      </c>
      <c r="H49" s="122" t="s">
        <v>890</v>
      </c>
      <c r="I49" s="122">
        <v>114.01</v>
      </c>
      <c r="J49" s="262"/>
      <c r="K49" s="262"/>
    </row>
    <row r="50" spans="1:11" ht="14.25" customHeight="1">
      <c r="A50" s="119" t="s">
        <v>187</v>
      </c>
      <c r="B50" s="362">
        <v>10</v>
      </c>
      <c r="C50" s="349">
        <v>498.5</v>
      </c>
      <c r="D50" s="362">
        <v>0</v>
      </c>
      <c r="E50" s="121">
        <v>0</v>
      </c>
      <c r="F50" s="362">
        <v>10</v>
      </c>
      <c r="G50" s="121">
        <v>498.5</v>
      </c>
      <c r="H50" s="122" t="s">
        <v>336</v>
      </c>
      <c r="I50" s="122">
        <v>250</v>
      </c>
      <c r="J50" s="262"/>
      <c r="K50" s="262"/>
    </row>
    <row r="51" spans="1:11" ht="14.25" customHeight="1">
      <c r="A51" s="119" t="s">
        <v>233</v>
      </c>
      <c r="B51" s="362">
        <v>110</v>
      </c>
      <c r="C51" s="349">
        <v>5488</v>
      </c>
      <c r="D51" s="362">
        <v>30</v>
      </c>
      <c r="E51" s="121">
        <v>1497.4</v>
      </c>
      <c r="F51" s="362">
        <v>140</v>
      </c>
      <c r="G51" s="121">
        <v>6985.4</v>
      </c>
      <c r="H51" s="122" t="s">
        <v>891</v>
      </c>
      <c r="I51" s="122">
        <v>110.86</v>
      </c>
      <c r="J51" s="262"/>
      <c r="K51" s="262"/>
    </row>
    <row r="52" spans="1:11" ht="14.25" customHeight="1">
      <c r="A52" s="119" t="s">
        <v>190</v>
      </c>
      <c r="B52" s="362">
        <v>40</v>
      </c>
      <c r="C52" s="349">
        <v>1994</v>
      </c>
      <c r="D52" s="362">
        <v>0</v>
      </c>
      <c r="E52" s="121">
        <v>0</v>
      </c>
      <c r="F52" s="362">
        <v>40</v>
      </c>
      <c r="G52" s="121">
        <v>1994</v>
      </c>
      <c r="H52" s="122" t="s">
        <v>892</v>
      </c>
      <c r="I52" s="122">
        <v>150</v>
      </c>
      <c r="J52" s="262"/>
      <c r="K52" s="262"/>
    </row>
    <row r="53" spans="1:16" ht="14.25" customHeight="1">
      <c r="A53" s="119" t="s">
        <v>98</v>
      </c>
      <c r="B53" s="362">
        <v>67</v>
      </c>
      <c r="C53" s="349">
        <v>3339.5</v>
      </c>
      <c r="D53" s="362">
        <v>30</v>
      </c>
      <c r="E53" s="121">
        <v>1496</v>
      </c>
      <c r="F53" s="362">
        <v>97</v>
      </c>
      <c r="G53" s="121">
        <v>4835.5</v>
      </c>
      <c r="H53" s="122">
        <v>737654</v>
      </c>
      <c r="I53" s="122">
        <f>H53/G53</f>
        <v>152.54968462413402</v>
      </c>
      <c r="J53" s="374"/>
      <c r="K53" s="374"/>
      <c r="L53" s="374"/>
      <c r="M53" s="374"/>
      <c r="N53" s="374"/>
      <c r="O53" s="374"/>
      <c r="P53" s="376"/>
    </row>
    <row r="54" spans="1:11" ht="14.25" customHeight="1">
      <c r="A54" s="119" t="s">
        <v>99</v>
      </c>
      <c r="B54" s="114"/>
      <c r="C54" s="349">
        <v>0</v>
      </c>
      <c r="D54" s="362">
        <v>55</v>
      </c>
      <c r="E54" s="121">
        <v>2745</v>
      </c>
      <c r="F54" s="362">
        <v>55</v>
      </c>
      <c r="G54" s="121">
        <v>2745</v>
      </c>
      <c r="H54" s="122" t="s">
        <v>893</v>
      </c>
      <c r="I54" s="122">
        <v>242.64</v>
      </c>
      <c r="J54" s="262"/>
      <c r="K54" s="262"/>
    </row>
    <row r="55" spans="1:16" ht="14.25" customHeight="1">
      <c r="A55" s="119" t="s">
        <v>103</v>
      </c>
      <c r="B55" s="362">
        <v>11</v>
      </c>
      <c r="C55" s="349">
        <v>550</v>
      </c>
      <c r="D55" s="362">
        <v>0</v>
      </c>
      <c r="E55" s="121">
        <v>0</v>
      </c>
      <c r="F55" s="362">
        <v>11</v>
      </c>
      <c r="G55" s="121">
        <v>550</v>
      </c>
      <c r="H55" s="122" t="s">
        <v>894</v>
      </c>
      <c r="I55" s="122">
        <v>277</v>
      </c>
      <c r="J55" s="262"/>
      <c r="K55" s="262"/>
      <c r="P55" s="375"/>
    </row>
    <row r="56" spans="1:11" ht="14.25" customHeight="1">
      <c r="A56" s="119" t="s">
        <v>194</v>
      </c>
      <c r="B56" s="362">
        <v>31</v>
      </c>
      <c r="C56" s="349">
        <v>1547</v>
      </c>
      <c r="D56" s="362">
        <v>0</v>
      </c>
      <c r="E56" s="121">
        <v>0</v>
      </c>
      <c r="F56" s="362">
        <v>31</v>
      </c>
      <c r="G56" s="121">
        <v>1547</v>
      </c>
      <c r="H56" s="122" t="s">
        <v>895</v>
      </c>
      <c r="I56" s="122">
        <v>221.04</v>
      </c>
      <c r="J56" s="262"/>
      <c r="K56" s="262"/>
    </row>
    <row r="57" spans="1:16" ht="14.25" customHeight="1">
      <c r="A57" s="119" t="s">
        <v>14</v>
      </c>
      <c r="B57" s="363">
        <v>5121</v>
      </c>
      <c r="C57" s="122" t="s">
        <v>896</v>
      </c>
      <c r="D57" s="362">
        <v>783</v>
      </c>
      <c r="E57" s="121">
        <v>39077.1</v>
      </c>
      <c r="F57" s="363">
        <v>5904</v>
      </c>
      <c r="G57" s="121" t="s">
        <v>897</v>
      </c>
      <c r="H57" s="122" t="s">
        <v>898</v>
      </c>
      <c r="I57" s="122">
        <v>163.27</v>
      </c>
      <c r="J57" s="262"/>
      <c r="K57" s="262"/>
      <c r="P57" s="375"/>
    </row>
    <row r="58" spans="1:16" ht="14.25" customHeight="1">
      <c r="A58" s="119"/>
      <c r="B58" s="363"/>
      <c r="C58" s="122"/>
      <c r="D58" s="362"/>
      <c r="E58" s="121"/>
      <c r="F58" s="363"/>
      <c r="G58" s="121"/>
      <c r="H58" s="122"/>
      <c r="I58" s="122"/>
      <c r="J58" s="262"/>
      <c r="K58" s="262"/>
      <c r="P58" s="375"/>
    </row>
    <row r="59" spans="1:10" ht="14.25" customHeight="1">
      <c r="A59" s="344"/>
      <c r="B59" s="355"/>
      <c r="C59" s="342"/>
      <c r="D59" s="355"/>
      <c r="E59" s="117"/>
      <c r="F59" s="356"/>
      <c r="G59" s="342" t="s">
        <v>119</v>
      </c>
      <c r="H59" s="118"/>
      <c r="I59" s="118"/>
      <c r="J59" s="1"/>
    </row>
    <row r="60" spans="1:10" ht="14.25" customHeight="1">
      <c r="A60" s="344"/>
      <c r="B60" s="355"/>
      <c r="C60" s="342"/>
      <c r="D60" s="355"/>
      <c r="E60" s="114"/>
      <c r="F60" s="117"/>
      <c r="G60" s="359" t="s">
        <v>121</v>
      </c>
      <c r="H60" s="118"/>
      <c r="I60" s="118"/>
      <c r="J60" s="1"/>
    </row>
    <row r="61" spans="1:9" ht="14.25" customHeight="1">
      <c r="A61" s="344"/>
      <c r="B61" s="355"/>
      <c r="C61" s="342"/>
      <c r="D61" s="355"/>
      <c r="E61" s="117"/>
      <c r="F61" s="355"/>
      <c r="G61" s="342"/>
      <c r="H61" s="118"/>
      <c r="I61" s="118"/>
    </row>
    <row r="62" spans="1:9" ht="14.25" customHeight="1">
      <c r="A62" s="329" t="s">
        <v>117</v>
      </c>
      <c r="B62" s="355"/>
      <c r="C62" s="342"/>
      <c r="D62" s="355"/>
      <c r="E62" s="117"/>
      <c r="F62" s="355"/>
      <c r="G62" s="342"/>
      <c r="H62" s="118"/>
      <c r="I62" s="118"/>
    </row>
    <row r="63" spans="1:9" ht="14.25" customHeight="1">
      <c r="A63" s="329" t="s">
        <v>118</v>
      </c>
      <c r="B63" s="355"/>
      <c r="C63" s="342"/>
      <c r="D63" s="355"/>
      <c r="E63" s="117"/>
      <c r="F63" s="355"/>
      <c r="G63" s="342"/>
      <c r="H63" s="118"/>
      <c r="I63" s="118"/>
    </row>
    <row r="64" spans="1:9" ht="14.25" customHeight="1">
      <c r="A64" s="329" t="s">
        <v>120</v>
      </c>
      <c r="B64" s="355"/>
      <c r="C64" s="342"/>
      <c r="D64" s="355"/>
      <c r="E64" s="117"/>
      <c r="F64" s="355"/>
      <c r="G64" s="342"/>
      <c r="H64" s="118"/>
      <c r="I64" s="118"/>
    </row>
    <row r="65" spans="1:9" ht="14.25" customHeight="1">
      <c r="A65" s="329" t="s">
        <v>122</v>
      </c>
      <c r="B65" s="355"/>
      <c r="C65" s="342"/>
      <c r="D65" s="355"/>
      <c r="E65" s="117"/>
      <c r="F65" s="355"/>
      <c r="G65" s="342"/>
      <c r="H65" s="118"/>
      <c r="I65" s="118"/>
    </row>
    <row r="66" spans="1:9" ht="14.25" customHeight="1">
      <c r="A66" s="329" t="s">
        <v>123</v>
      </c>
      <c r="B66" s="355"/>
      <c r="C66" s="342"/>
      <c r="D66" s="355"/>
      <c r="E66" s="117"/>
      <c r="F66" s="355"/>
      <c r="G66" s="342"/>
      <c r="H66" s="118"/>
      <c r="I66" s="118"/>
    </row>
  </sheetData>
  <sheetProtection/>
  <printOptions/>
  <pageMargins left="0.95" right="0.95" top="0.58" bottom="0.5" header="0.3" footer="0.3"/>
  <pageSetup horizontalDpi="600" verticalDpi="600" orientation="portrait" paperSize="9" scale="80" r:id="rId1"/>
  <headerFooter>
    <oddHeader>&amp;RProduce Brokers Limited
1349/A, North Agrabad, D.T. Road Askarabad (1st floor)
Chattogram-4224
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0.140625" style="366" customWidth="1"/>
    <col min="2" max="2" width="7.140625" style="31" customWidth="1"/>
    <col min="3" max="3" width="10.28125" style="360" customWidth="1"/>
    <col min="4" max="4" width="7.7109375" style="31" customWidth="1"/>
    <col min="5" max="5" width="9.421875" style="244" customWidth="1"/>
    <col min="6" max="6" width="5.421875" style="31" customWidth="1"/>
    <col min="7" max="7" width="10.00390625" style="360" customWidth="1"/>
    <col min="8" max="8" width="13.28125" style="48" customWidth="1"/>
    <col min="9" max="9" width="7.7109375" style="48" customWidth="1"/>
    <col min="10" max="16384" width="8.8515625" style="366" customWidth="1"/>
  </cols>
  <sheetData>
    <row r="1" spans="1:11" ht="14.25" customHeight="1">
      <c r="A1" s="329" t="s">
        <v>775</v>
      </c>
      <c r="B1" s="330"/>
      <c r="C1" s="331"/>
      <c r="D1" s="330"/>
      <c r="E1" s="332"/>
      <c r="F1" s="330"/>
      <c r="G1" s="331"/>
      <c r="H1" s="333"/>
      <c r="I1" s="333"/>
      <c r="J1" s="262"/>
      <c r="K1" s="262"/>
    </row>
    <row r="2" spans="1:11" ht="14.25" customHeight="1">
      <c r="A2" s="329" t="s">
        <v>776</v>
      </c>
      <c r="B2" s="330"/>
      <c r="C2" s="331"/>
      <c r="D2" s="330"/>
      <c r="E2" s="332"/>
      <c r="F2" s="330"/>
      <c r="G2" s="331"/>
      <c r="H2" s="333"/>
      <c r="I2" s="333"/>
      <c r="J2" s="262"/>
      <c r="K2" s="262"/>
    </row>
    <row r="3" spans="1:11" ht="14.25" customHeight="1">
      <c r="A3" s="329" t="s">
        <v>110</v>
      </c>
      <c r="B3" s="330"/>
      <c r="C3" s="331"/>
      <c r="D3" s="330"/>
      <c r="E3" s="332"/>
      <c r="F3" s="330"/>
      <c r="G3" s="331"/>
      <c r="H3" s="333"/>
      <c r="I3" s="333"/>
      <c r="J3" s="262"/>
      <c r="K3" s="262"/>
    </row>
    <row r="4" spans="1:11" ht="14.25" customHeight="1">
      <c r="A4" s="329" t="s">
        <v>5</v>
      </c>
      <c r="B4" s="330"/>
      <c r="C4" s="331"/>
      <c r="D4" s="330"/>
      <c r="E4" s="332"/>
      <c r="F4" s="330"/>
      <c r="G4" s="331"/>
      <c r="H4" s="333"/>
      <c r="I4" s="333"/>
      <c r="J4" s="262"/>
      <c r="K4" s="262"/>
    </row>
    <row r="5" spans="1:11" ht="14.25" customHeight="1">
      <c r="A5" s="329" t="s">
        <v>6</v>
      </c>
      <c r="B5" s="330"/>
      <c r="C5" s="331"/>
      <c r="D5" s="330"/>
      <c r="E5" s="334"/>
      <c r="F5" s="330"/>
      <c r="G5" s="331"/>
      <c r="H5" s="333"/>
      <c r="I5" s="333"/>
      <c r="J5" s="262"/>
      <c r="K5" s="262"/>
    </row>
    <row r="6" spans="1:11" ht="14.25" customHeight="1">
      <c r="A6" s="329" t="s">
        <v>111</v>
      </c>
      <c r="B6" s="330"/>
      <c r="C6" s="331"/>
      <c r="D6" s="330"/>
      <c r="E6" s="332"/>
      <c r="F6" s="330"/>
      <c r="G6" s="331"/>
      <c r="H6" s="333"/>
      <c r="I6" s="333"/>
      <c r="J6" s="262"/>
      <c r="K6" s="262"/>
    </row>
    <row r="7" spans="1:11" ht="14.25" customHeight="1">
      <c r="A7" s="329" t="s">
        <v>112</v>
      </c>
      <c r="B7" s="330"/>
      <c r="C7" s="331"/>
      <c r="D7" s="330"/>
      <c r="E7" s="335" t="s">
        <v>113</v>
      </c>
      <c r="F7" s="330"/>
      <c r="G7" s="331"/>
      <c r="H7" s="333"/>
      <c r="I7" s="333"/>
      <c r="J7" s="262"/>
      <c r="K7" s="262"/>
    </row>
    <row r="8" spans="1:11" ht="14.25" customHeight="1">
      <c r="A8" s="336" t="s">
        <v>777</v>
      </c>
      <c r="B8" s="337"/>
      <c r="C8" s="338"/>
      <c r="D8" s="337"/>
      <c r="E8" s="339"/>
      <c r="F8" s="337"/>
      <c r="G8" s="338"/>
      <c r="H8" s="340"/>
      <c r="I8" s="340"/>
      <c r="J8" s="262"/>
      <c r="K8" s="262"/>
    </row>
    <row r="9" spans="1:11" ht="14.25" customHeight="1">
      <c r="A9" s="114"/>
      <c r="B9" s="341" t="s">
        <v>45</v>
      </c>
      <c r="C9" s="342"/>
      <c r="D9" s="341" t="s">
        <v>46</v>
      </c>
      <c r="E9" s="342"/>
      <c r="F9" s="341"/>
      <c r="G9" s="343" t="s">
        <v>47</v>
      </c>
      <c r="H9" s="118"/>
      <c r="I9" s="118"/>
      <c r="J9" s="262"/>
      <c r="K9" s="262"/>
    </row>
    <row r="10" spans="1:11" ht="14.25" customHeight="1">
      <c r="A10" s="344" t="s">
        <v>461</v>
      </c>
      <c r="B10" s="345" t="s">
        <v>49</v>
      </c>
      <c r="C10" s="346" t="s">
        <v>50</v>
      </c>
      <c r="D10" s="345" t="s">
        <v>49</v>
      </c>
      <c r="E10" s="346" t="s">
        <v>50</v>
      </c>
      <c r="F10" s="345" t="s">
        <v>49</v>
      </c>
      <c r="G10" s="346" t="s">
        <v>50</v>
      </c>
      <c r="H10" s="347" t="s">
        <v>51</v>
      </c>
      <c r="I10" s="347" t="s">
        <v>52</v>
      </c>
      <c r="J10" s="262"/>
      <c r="K10" s="262"/>
    </row>
    <row r="11" spans="1:11" ht="14.25" customHeight="1">
      <c r="A11" s="119" t="s">
        <v>466</v>
      </c>
      <c r="B11" s="348"/>
      <c r="C11" s="343">
        <v>0</v>
      </c>
      <c r="D11" s="115"/>
      <c r="E11" s="121"/>
      <c r="F11" s="115"/>
      <c r="G11" s="343"/>
      <c r="H11" s="122"/>
      <c r="I11" s="350"/>
      <c r="J11" s="262"/>
      <c r="K11" s="262"/>
    </row>
    <row r="12" spans="1:11" ht="14.25" customHeight="1">
      <c r="A12" s="114" t="s">
        <v>14</v>
      </c>
      <c r="B12" s="122">
        <f aca="true" t="shared" si="0" ref="B12:H12">SUM(B11)</f>
        <v>0</v>
      </c>
      <c r="C12" s="343">
        <f t="shared" si="0"/>
        <v>0</v>
      </c>
      <c r="D12" s="341">
        <f t="shared" si="0"/>
        <v>0</v>
      </c>
      <c r="E12" s="343">
        <f t="shared" si="0"/>
        <v>0</v>
      </c>
      <c r="F12" s="341">
        <f t="shared" si="0"/>
        <v>0</v>
      </c>
      <c r="G12" s="343">
        <f t="shared" si="0"/>
        <v>0</v>
      </c>
      <c r="H12" s="122">
        <f t="shared" si="0"/>
        <v>0</v>
      </c>
      <c r="I12" s="122" t="e">
        <f>H12/G12</f>
        <v>#DIV/0!</v>
      </c>
      <c r="J12" s="262"/>
      <c r="K12" s="262"/>
    </row>
    <row r="13" spans="1:11" ht="14.25" customHeight="1">
      <c r="A13" s="344" t="s">
        <v>462</v>
      </c>
      <c r="B13" s="345" t="s">
        <v>49</v>
      </c>
      <c r="C13" s="346" t="s">
        <v>50</v>
      </c>
      <c r="D13" s="345" t="s">
        <v>49</v>
      </c>
      <c r="E13" s="346" t="s">
        <v>50</v>
      </c>
      <c r="F13" s="345" t="s">
        <v>49</v>
      </c>
      <c r="G13" s="346" t="s">
        <v>50</v>
      </c>
      <c r="H13" s="347" t="s">
        <v>51</v>
      </c>
      <c r="I13" s="347" t="s">
        <v>52</v>
      </c>
      <c r="J13" s="262"/>
      <c r="K13" s="262"/>
    </row>
    <row r="14" spans="1:11" ht="14.25" customHeight="1">
      <c r="A14" s="119" t="s">
        <v>318</v>
      </c>
      <c r="B14" s="362">
        <v>156</v>
      </c>
      <c r="C14" s="349">
        <v>7784.5</v>
      </c>
      <c r="D14" s="362">
        <v>0</v>
      </c>
      <c r="E14" s="121">
        <v>0</v>
      </c>
      <c r="F14" s="362">
        <v>156</v>
      </c>
      <c r="G14" s="121">
        <v>7784.5</v>
      </c>
      <c r="H14" s="122">
        <v>1002893.5</v>
      </c>
      <c r="I14" s="122">
        <v>128.83210225448005</v>
      </c>
      <c r="J14" s="262"/>
      <c r="K14" s="262"/>
    </row>
    <row r="15" spans="1:11" ht="14.25" customHeight="1">
      <c r="A15" s="119" t="s">
        <v>319</v>
      </c>
      <c r="B15" s="362">
        <v>100</v>
      </c>
      <c r="C15" s="349">
        <v>4982</v>
      </c>
      <c r="D15" s="362">
        <v>0</v>
      </c>
      <c r="E15" s="121">
        <v>0</v>
      </c>
      <c r="F15" s="362">
        <v>100</v>
      </c>
      <c r="G15" s="121">
        <v>4982</v>
      </c>
      <c r="H15" s="122" t="s">
        <v>778</v>
      </c>
      <c r="I15" s="122">
        <v>193.12</v>
      </c>
      <c r="J15" s="262"/>
      <c r="K15" s="262"/>
    </row>
    <row r="16" spans="1:11" ht="14.25" customHeight="1">
      <c r="A16" s="119" t="s">
        <v>53</v>
      </c>
      <c r="B16" s="362">
        <v>764</v>
      </c>
      <c r="C16" s="349">
        <v>38105.5</v>
      </c>
      <c r="D16" s="362">
        <v>20</v>
      </c>
      <c r="E16" s="121">
        <v>998.4</v>
      </c>
      <c r="F16" s="362">
        <v>784</v>
      </c>
      <c r="G16" s="121">
        <v>39103.9</v>
      </c>
      <c r="H16" s="122" t="s">
        <v>779</v>
      </c>
      <c r="I16" s="122">
        <v>170.93</v>
      </c>
      <c r="J16" s="262"/>
      <c r="K16" s="262"/>
    </row>
    <row r="17" spans="1:11" ht="14.25" customHeight="1">
      <c r="A17" s="119" t="s">
        <v>322</v>
      </c>
      <c r="B17" s="114"/>
      <c r="C17" s="349">
        <v>0</v>
      </c>
      <c r="D17" s="362">
        <v>10</v>
      </c>
      <c r="E17" s="121">
        <v>499.2</v>
      </c>
      <c r="F17" s="362">
        <v>10</v>
      </c>
      <c r="G17" s="121">
        <v>499.2</v>
      </c>
      <c r="H17" s="122" t="s">
        <v>780</v>
      </c>
      <c r="I17" s="122">
        <v>241</v>
      </c>
      <c r="J17" s="262"/>
      <c r="K17" s="262"/>
    </row>
    <row r="18" spans="1:11" ht="14.25" customHeight="1">
      <c r="A18" s="119" t="s">
        <v>55</v>
      </c>
      <c r="B18" s="362">
        <v>183</v>
      </c>
      <c r="C18" s="349">
        <v>9142</v>
      </c>
      <c r="D18" s="362">
        <v>0</v>
      </c>
      <c r="E18" s="121">
        <v>0</v>
      </c>
      <c r="F18" s="362">
        <v>183</v>
      </c>
      <c r="G18" s="121">
        <v>9142</v>
      </c>
      <c r="H18" s="122" t="s">
        <v>781</v>
      </c>
      <c r="I18" s="122">
        <v>95</v>
      </c>
      <c r="J18" s="262"/>
      <c r="K18" s="262"/>
    </row>
    <row r="19" spans="1:11" ht="14.25" customHeight="1">
      <c r="A19" s="119" t="s">
        <v>168</v>
      </c>
      <c r="B19" s="362">
        <v>10</v>
      </c>
      <c r="C19" s="349">
        <v>498.5</v>
      </c>
      <c r="D19" s="362">
        <v>0</v>
      </c>
      <c r="E19" s="121">
        <v>0</v>
      </c>
      <c r="F19" s="362">
        <v>10</v>
      </c>
      <c r="G19" s="121">
        <v>498.5</v>
      </c>
      <c r="H19" s="122" t="s">
        <v>782</v>
      </c>
      <c r="I19" s="122">
        <v>279</v>
      </c>
      <c r="J19" s="262"/>
      <c r="K19" s="262"/>
    </row>
    <row r="20" spans="1:11" ht="14.25" customHeight="1">
      <c r="A20" s="119" t="s">
        <v>128</v>
      </c>
      <c r="B20" s="362">
        <v>45</v>
      </c>
      <c r="C20" s="349">
        <v>2245</v>
      </c>
      <c r="D20" s="362">
        <v>0</v>
      </c>
      <c r="E20" s="121">
        <v>0</v>
      </c>
      <c r="F20" s="362">
        <v>45</v>
      </c>
      <c r="G20" s="121">
        <v>2245</v>
      </c>
      <c r="H20" s="122" t="s">
        <v>783</v>
      </c>
      <c r="I20" s="122">
        <v>174.78</v>
      </c>
      <c r="J20" s="262"/>
      <c r="K20" s="262"/>
    </row>
    <row r="21" spans="1:11" ht="14.25" customHeight="1">
      <c r="A21" s="119" t="s">
        <v>173</v>
      </c>
      <c r="B21" s="362">
        <v>5</v>
      </c>
      <c r="C21" s="349">
        <v>248.5</v>
      </c>
      <c r="D21" s="362">
        <v>0</v>
      </c>
      <c r="E21" s="121">
        <v>0</v>
      </c>
      <c r="F21" s="362">
        <v>5</v>
      </c>
      <c r="G21" s="121">
        <v>248.5</v>
      </c>
      <c r="H21" s="122">
        <v>74550</v>
      </c>
      <c r="I21" s="122">
        <v>300</v>
      </c>
      <c r="J21" s="262"/>
      <c r="K21" s="262"/>
    </row>
    <row r="22" spans="1:11" ht="14.25" customHeight="1">
      <c r="A22" s="119" t="s">
        <v>640</v>
      </c>
      <c r="B22" s="114"/>
      <c r="C22" s="349">
        <v>0</v>
      </c>
      <c r="D22" s="362">
        <v>110</v>
      </c>
      <c r="E22" s="121">
        <v>5489.3</v>
      </c>
      <c r="F22" s="362">
        <v>110</v>
      </c>
      <c r="G22" s="121">
        <v>5489.3</v>
      </c>
      <c r="H22" s="122" t="s">
        <v>784</v>
      </c>
      <c r="I22" s="122">
        <v>149.59</v>
      </c>
      <c r="J22" s="262"/>
      <c r="K22" s="262"/>
    </row>
    <row r="23" spans="1:11" ht="14.25" customHeight="1">
      <c r="A23" s="119" t="s">
        <v>57</v>
      </c>
      <c r="B23" s="362">
        <v>60</v>
      </c>
      <c r="C23" s="349">
        <v>2991</v>
      </c>
      <c r="D23" s="362">
        <v>0</v>
      </c>
      <c r="E23" s="121">
        <v>0</v>
      </c>
      <c r="F23" s="362">
        <v>60</v>
      </c>
      <c r="G23" s="121">
        <v>2991</v>
      </c>
      <c r="H23" s="122" t="s">
        <v>785</v>
      </c>
      <c r="I23" s="122">
        <v>184</v>
      </c>
      <c r="J23" s="262"/>
      <c r="K23" s="262"/>
    </row>
    <row r="24" spans="1:11" ht="14.25" customHeight="1">
      <c r="A24" s="119" t="s">
        <v>205</v>
      </c>
      <c r="B24" s="362">
        <v>100</v>
      </c>
      <c r="C24" s="349">
        <v>4980.5</v>
      </c>
      <c r="D24" s="362">
        <v>0</v>
      </c>
      <c r="E24" s="121">
        <v>0</v>
      </c>
      <c r="F24" s="362">
        <v>100</v>
      </c>
      <c r="G24" s="121">
        <v>4980.5</v>
      </c>
      <c r="H24" s="122" t="s">
        <v>786</v>
      </c>
      <c r="I24" s="122">
        <v>167.59</v>
      </c>
      <c r="J24" s="262"/>
      <c r="K24" s="262"/>
    </row>
    <row r="25" spans="1:11" ht="14.25" customHeight="1">
      <c r="A25" s="119" t="s">
        <v>174</v>
      </c>
      <c r="B25" s="362">
        <v>10</v>
      </c>
      <c r="C25" s="349">
        <v>498.5</v>
      </c>
      <c r="D25" s="362">
        <v>0</v>
      </c>
      <c r="E25" s="121">
        <v>0</v>
      </c>
      <c r="F25" s="362">
        <v>10</v>
      </c>
      <c r="G25" s="121">
        <v>498.5</v>
      </c>
      <c r="H25" s="122">
        <v>64805</v>
      </c>
      <c r="I25" s="122">
        <v>130</v>
      </c>
      <c r="J25" s="262"/>
      <c r="K25" s="262"/>
    </row>
    <row r="26" spans="1:11" ht="14.25" customHeight="1">
      <c r="A26" s="119" t="s">
        <v>176</v>
      </c>
      <c r="B26" s="362">
        <v>140</v>
      </c>
      <c r="C26" s="349">
        <v>6986.5</v>
      </c>
      <c r="D26" s="362">
        <v>10</v>
      </c>
      <c r="E26" s="121">
        <v>499.2</v>
      </c>
      <c r="F26" s="362">
        <v>150</v>
      </c>
      <c r="G26" s="121">
        <v>7485.7</v>
      </c>
      <c r="H26" s="122" t="s">
        <v>787</v>
      </c>
      <c r="I26" s="122">
        <v>208.81</v>
      </c>
      <c r="J26" s="262"/>
      <c r="K26" s="262"/>
    </row>
    <row r="27" spans="1:11" ht="14.25" customHeight="1">
      <c r="A27" s="119" t="s">
        <v>130</v>
      </c>
      <c r="B27" s="362">
        <v>10</v>
      </c>
      <c r="C27" s="349">
        <v>497</v>
      </c>
      <c r="D27" s="362">
        <v>0</v>
      </c>
      <c r="E27" s="121">
        <v>0</v>
      </c>
      <c r="F27" s="362">
        <v>10</v>
      </c>
      <c r="G27" s="121">
        <v>497</v>
      </c>
      <c r="H27" s="122">
        <v>62125</v>
      </c>
      <c r="I27" s="122">
        <v>125</v>
      </c>
      <c r="J27" s="262"/>
      <c r="K27" s="262"/>
    </row>
    <row r="28" spans="1:11" ht="14.25" customHeight="1">
      <c r="A28" s="119" t="s">
        <v>475</v>
      </c>
      <c r="B28" s="362">
        <v>80</v>
      </c>
      <c r="C28" s="349">
        <v>3988</v>
      </c>
      <c r="D28" s="362">
        <v>0</v>
      </c>
      <c r="E28" s="121">
        <v>0</v>
      </c>
      <c r="F28" s="362">
        <v>80</v>
      </c>
      <c r="G28" s="121">
        <v>3988</v>
      </c>
      <c r="H28" s="122" t="s">
        <v>788</v>
      </c>
      <c r="I28" s="122">
        <v>194.75</v>
      </c>
      <c r="J28" s="262"/>
      <c r="K28" s="262"/>
    </row>
    <row r="29" spans="1:11" ht="14.25" customHeight="1">
      <c r="A29" s="119" t="s">
        <v>61</v>
      </c>
      <c r="B29" s="362">
        <v>22</v>
      </c>
      <c r="C29" s="349">
        <v>1097</v>
      </c>
      <c r="D29" s="362">
        <v>0</v>
      </c>
      <c r="E29" s="121">
        <v>0</v>
      </c>
      <c r="F29" s="362">
        <v>22</v>
      </c>
      <c r="G29" s="121">
        <v>1097</v>
      </c>
      <c r="H29" s="122" t="s">
        <v>789</v>
      </c>
      <c r="I29" s="122">
        <v>248.1</v>
      </c>
      <c r="J29" s="262"/>
      <c r="K29" s="262"/>
    </row>
    <row r="30" spans="1:11" ht="14.25" customHeight="1">
      <c r="A30" s="119" t="s">
        <v>63</v>
      </c>
      <c r="B30" s="362">
        <v>10</v>
      </c>
      <c r="C30" s="349">
        <v>498.5</v>
      </c>
      <c r="D30" s="362">
        <v>0</v>
      </c>
      <c r="E30" s="121">
        <v>0</v>
      </c>
      <c r="F30" s="362">
        <v>10</v>
      </c>
      <c r="G30" s="121">
        <v>498.5</v>
      </c>
      <c r="H30" s="122">
        <v>52342.5</v>
      </c>
      <c r="I30" s="122">
        <v>105</v>
      </c>
      <c r="J30" s="262"/>
      <c r="K30" s="262"/>
    </row>
    <row r="31" spans="1:11" ht="14.25" customHeight="1">
      <c r="A31" s="119" t="s">
        <v>136</v>
      </c>
      <c r="B31" s="362">
        <v>10</v>
      </c>
      <c r="C31" s="349">
        <v>500</v>
      </c>
      <c r="D31" s="362">
        <v>0</v>
      </c>
      <c r="E31" s="121">
        <v>0</v>
      </c>
      <c r="F31" s="362">
        <v>10</v>
      </c>
      <c r="G31" s="121">
        <v>500</v>
      </c>
      <c r="H31" s="122">
        <v>56000</v>
      </c>
      <c r="I31" s="122">
        <v>112</v>
      </c>
      <c r="J31" s="262"/>
      <c r="K31" s="262"/>
    </row>
    <row r="32" spans="1:11" ht="14.25" customHeight="1">
      <c r="A32" s="119" t="s">
        <v>67</v>
      </c>
      <c r="B32" s="362">
        <v>20</v>
      </c>
      <c r="C32" s="349">
        <v>997</v>
      </c>
      <c r="D32" s="362">
        <v>0</v>
      </c>
      <c r="E32" s="121">
        <v>0</v>
      </c>
      <c r="F32" s="362">
        <v>20</v>
      </c>
      <c r="G32" s="121">
        <v>997</v>
      </c>
      <c r="H32" s="122" t="s">
        <v>790</v>
      </c>
      <c r="I32" s="122">
        <v>183</v>
      </c>
      <c r="J32" s="262"/>
      <c r="K32" s="262"/>
    </row>
    <row r="33" spans="1:11" ht="14.25" customHeight="1">
      <c r="A33" s="119" t="s">
        <v>541</v>
      </c>
      <c r="B33" s="362">
        <v>90</v>
      </c>
      <c r="C33" s="349">
        <v>4492.5</v>
      </c>
      <c r="D33" s="362">
        <v>0</v>
      </c>
      <c r="E33" s="121">
        <v>0</v>
      </c>
      <c r="F33" s="362">
        <v>90</v>
      </c>
      <c r="G33" s="121">
        <v>4492.5</v>
      </c>
      <c r="H33" s="122" t="s">
        <v>791</v>
      </c>
      <c r="I33" s="122">
        <v>148.42</v>
      </c>
      <c r="J33" s="262"/>
      <c r="K33" s="262"/>
    </row>
    <row r="34" spans="1:11" ht="14.25" customHeight="1">
      <c r="A34" s="119" t="s">
        <v>69</v>
      </c>
      <c r="B34" s="362">
        <v>150</v>
      </c>
      <c r="C34" s="349">
        <v>7476</v>
      </c>
      <c r="D34" s="362">
        <v>0</v>
      </c>
      <c r="E34" s="121">
        <v>0</v>
      </c>
      <c r="F34" s="362">
        <v>150</v>
      </c>
      <c r="G34" s="121">
        <v>7476</v>
      </c>
      <c r="H34" s="122" t="s">
        <v>792</v>
      </c>
      <c r="I34" s="122">
        <v>107.8</v>
      </c>
      <c r="J34" s="262"/>
      <c r="K34" s="262"/>
    </row>
    <row r="35" spans="1:11" ht="14.25" customHeight="1">
      <c r="A35" s="119" t="s">
        <v>71</v>
      </c>
      <c r="B35" s="362">
        <v>880</v>
      </c>
      <c r="C35" s="349">
        <v>43913</v>
      </c>
      <c r="D35" s="362">
        <v>65</v>
      </c>
      <c r="E35" s="121">
        <v>3244.7</v>
      </c>
      <c r="F35" s="362">
        <v>945</v>
      </c>
      <c r="G35" s="121">
        <v>47157.7</v>
      </c>
      <c r="H35" s="122" t="s">
        <v>793</v>
      </c>
      <c r="I35" s="122">
        <v>171.52</v>
      </c>
      <c r="J35" s="262"/>
      <c r="K35" s="262"/>
    </row>
    <row r="36" spans="1:11" ht="14.25" customHeight="1">
      <c r="A36" s="119" t="s">
        <v>141</v>
      </c>
      <c r="B36" s="362">
        <v>20</v>
      </c>
      <c r="C36" s="349">
        <v>997</v>
      </c>
      <c r="D36" s="362">
        <v>20</v>
      </c>
      <c r="E36" s="121">
        <v>997.6</v>
      </c>
      <c r="F36" s="362">
        <v>40</v>
      </c>
      <c r="G36" s="121">
        <v>1994.6</v>
      </c>
      <c r="H36" s="122" t="s">
        <v>794</v>
      </c>
      <c r="I36" s="122">
        <v>129.26</v>
      </c>
      <c r="J36" s="262"/>
      <c r="K36" s="262"/>
    </row>
    <row r="37" spans="1:11" ht="14.25" customHeight="1">
      <c r="A37" s="119" t="s">
        <v>73</v>
      </c>
      <c r="B37" s="362">
        <v>90</v>
      </c>
      <c r="C37" s="349">
        <v>4492.5</v>
      </c>
      <c r="D37" s="362">
        <v>0</v>
      </c>
      <c r="E37" s="121">
        <v>0</v>
      </c>
      <c r="F37" s="362">
        <v>90</v>
      </c>
      <c r="G37" s="121">
        <v>4492.5</v>
      </c>
      <c r="H37" s="122" t="s">
        <v>795</v>
      </c>
      <c r="I37" s="122">
        <v>100</v>
      </c>
      <c r="J37" s="262"/>
      <c r="K37" s="262"/>
    </row>
    <row r="38" spans="1:11" ht="14.25" customHeight="1">
      <c r="A38" s="119" t="s">
        <v>73</v>
      </c>
      <c r="B38" s="362">
        <v>40</v>
      </c>
      <c r="C38" s="349">
        <v>1994</v>
      </c>
      <c r="D38" s="362">
        <v>0</v>
      </c>
      <c r="E38" s="121">
        <v>0</v>
      </c>
      <c r="F38" s="362">
        <v>40</v>
      </c>
      <c r="G38" s="121">
        <v>1994</v>
      </c>
      <c r="H38" s="122" t="s">
        <v>796</v>
      </c>
      <c r="I38" s="122">
        <v>183.25</v>
      </c>
      <c r="J38" s="262"/>
      <c r="K38" s="262"/>
    </row>
    <row r="39" spans="1:11" ht="14.25" customHeight="1">
      <c r="A39" s="119" t="s">
        <v>75</v>
      </c>
      <c r="B39" s="362">
        <v>25</v>
      </c>
      <c r="C39" s="349">
        <v>1247</v>
      </c>
      <c r="D39" s="362">
        <v>0</v>
      </c>
      <c r="E39" s="121">
        <v>0</v>
      </c>
      <c r="F39" s="362">
        <v>25</v>
      </c>
      <c r="G39" s="121">
        <v>1247</v>
      </c>
      <c r="H39" s="122" t="s">
        <v>797</v>
      </c>
      <c r="I39" s="122">
        <v>276.59</v>
      </c>
      <c r="J39" s="262"/>
      <c r="K39" s="262"/>
    </row>
    <row r="40" spans="1:11" ht="14.25" customHeight="1">
      <c r="A40" s="119" t="s">
        <v>77</v>
      </c>
      <c r="B40" s="362">
        <v>50</v>
      </c>
      <c r="C40" s="349">
        <v>2492</v>
      </c>
      <c r="D40" s="362">
        <v>30</v>
      </c>
      <c r="E40" s="121">
        <v>1497.6</v>
      </c>
      <c r="F40" s="362">
        <v>80</v>
      </c>
      <c r="G40" s="121">
        <v>3989.6</v>
      </c>
      <c r="H40" s="122" t="s">
        <v>798</v>
      </c>
      <c r="I40" s="122">
        <v>158.17</v>
      </c>
      <c r="J40" s="262"/>
      <c r="K40" s="262"/>
    </row>
    <row r="41" spans="1:11" ht="14.25" customHeight="1">
      <c r="A41" s="119" t="s">
        <v>445</v>
      </c>
      <c r="B41" s="362">
        <v>25</v>
      </c>
      <c r="C41" s="349">
        <v>1244</v>
      </c>
      <c r="D41" s="362">
        <v>0</v>
      </c>
      <c r="E41" s="121">
        <v>0</v>
      </c>
      <c r="F41" s="362">
        <v>25</v>
      </c>
      <c r="G41" s="121">
        <v>1244</v>
      </c>
      <c r="H41" s="122" t="s">
        <v>799</v>
      </c>
      <c r="I41" s="122">
        <v>140.97</v>
      </c>
      <c r="J41" s="262"/>
      <c r="K41" s="262"/>
    </row>
    <row r="42" spans="1:11" ht="14.25" customHeight="1">
      <c r="A42" s="119" t="s">
        <v>257</v>
      </c>
      <c r="B42" s="362">
        <v>50</v>
      </c>
      <c r="C42" s="349">
        <v>2491</v>
      </c>
      <c r="D42" s="362">
        <v>0</v>
      </c>
      <c r="E42" s="121">
        <v>0</v>
      </c>
      <c r="F42" s="362">
        <v>50</v>
      </c>
      <c r="G42" s="121">
        <v>2491</v>
      </c>
      <c r="H42" s="122" t="s">
        <v>800</v>
      </c>
      <c r="I42" s="122">
        <v>187.79</v>
      </c>
      <c r="J42" s="262"/>
      <c r="K42" s="262"/>
    </row>
    <row r="43" spans="1:11" ht="14.25" customHeight="1">
      <c r="A43" s="119" t="s">
        <v>221</v>
      </c>
      <c r="B43" s="362">
        <v>215</v>
      </c>
      <c r="C43" s="349">
        <v>10736.5</v>
      </c>
      <c r="D43" s="362">
        <v>110</v>
      </c>
      <c r="E43" s="121">
        <v>5490.4</v>
      </c>
      <c r="F43" s="362">
        <v>325</v>
      </c>
      <c r="G43" s="121">
        <v>16226.9</v>
      </c>
      <c r="H43" s="122" t="s">
        <v>801</v>
      </c>
      <c r="I43" s="122">
        <v>163.73</v>
      </c>
      <c r="J43" s="262"/>
      <c r="K43" s="262"/>
    </row>
    <row r="44" spans="1:11" ht="14.25" customHeight="1">
      <c r="A44" s="119" t="s">
        <v>81</v>
      </c>
      <c r="B44" s="362">
        <v>40</v>
      </c>
      <c r="C44" s="349">
        <v>1997</v>
      </c>
      <c r="D44" s="362">
        <v>0</v>
      </c>
      <c r="E44" s="121">
        <v>0</v>
      </c>
      <c r="F44" s="362">
        <v>40</v>
      </c>
      <c r="G44" s="121">
        <v>1997</v>
      </c>
      <c r="H44" s="122" t="s">
        <v>802</v>
      </c>
      <c r="I44" s="122">
        <v>151.81</v>
      </c>
      <c r="J44" s="262"/>
      <c r="K44" s="262"/>
    </row>
    <row r="45" spans="1:11" ht="14.25" customHeight="1">
      <c r="A45" s="119" t="s">
        <v>83</v>
      </c>
      <c r="B45" s="362">
        <v>220</v>
      </c>
      <c r="C45" s="349">
        <v>10976</v>
      </c>
      <c r="D45" s="362">
        <v>20</v>
      </c>
      <c r="E45" s="121">
        <v>998.4</v>
      </c>
      <c r="F45" s="362">
        <v>240</v>
      </c>
      <c r="G45" s="121">
        <v>11974.4</v>
      </c>
      <c r="H45" s="122" t="s">
        <v>803</v>
      </c>
      <c r="I45" s="122">
        <v>173.94</v>
      </c>
      <c r="J45" s="262"/>
      <c r="K45" s="262"/>
    </row>
    <row r="46" spans="1:11" ht="14.25" customHeight="1">
      <c r="A46" s="119" t="s">
        <v>85</v>
      </c>
      <c r="B46" s="362">
        <v>225</v>
      </c>
      <c r="C46" s="349">
        <v>11202</v>
      </c>
      <c r="D46" s="362">
        <v>20</v>
      </c>
      <c r="E46" s="121">
        <v>997.9</v>
      </c>
      <c r="F46" s="362">
        <v>245</v>
      </c>
      <c r="G46" s="121">
        <v>12199.900000000001</v>
      </c>
      <c r="H46" s="122">
        <v>1391367.9</v>
      </c>
      <c r="I46" s="122">
        <v>114.04748399577043</v>
      </c>
      <c r="J46" s="262"/>
      <c r="K46" s="262"/>
    </row>
    <row r="47" spans="1:11" ht="14.25" customHeight="1">
      <c r="A47" s="119" t="s">
        <v>87</v>
      </c>
      <c r="B47" s="362">
        <v>35</v>
      </c>
      <c r="C47" s="349">
        <v>1741</v>
      </c>
      <c r="D47" s="362">
        <v>0</v>
      </c>
      <c r="E47" s="121">
        <v>0</v>
      </c>
      <c r="F47" s="362">
        <v>35</v>
      </c>
      <c r="G47" s="121">
        <v>1741</v>
      </c>
      <c r="H47" s="122" t="s">
        <v>804</v>
      </c>
      <c r="I47" s="122">
        <v>107.71</v>
      </c>
      <c r="J47" s="262"/>
      <c r="K47" s="262"/>
    </row>
    <row r="48" spans="1:11" ht="14.25" customHeight="1">
      <c r="A48" s="119" t="s">
        <v>150</v>
      </c>
      <c r="B48" s="362">
        <v>20</v>
      </c>
      <c r="C48" s="349">
        <v>1000</v>
      </c>
      <c r="D48" s="362">
        <v>20</v>
      </c>
      <c r="E48" s="121">
        <v>997.9</v>
      </c>
      <c r="F48" s="362">
        <v>40</v>
      </c>
      <c r="G48" s="121">
        <v>1997.9</v>
      </c>
      <c r="H48" s="122" t="s">
        <v>805</v>
      </c>
      <c r="I48" s="122">
        <v>191.58</v>
      </c>
      <c r="J48" s="262"/>
      <c r="K48" s="262"/>
    </row>
    <row r="49" spans="1:11" ht="14.25" customHeight="1">
      <c r="A49" s="119" t="s">
        <v>185</v>
      </c>
      <c r="B49" s="362">
        <v>180</v>
      </c>
      <c r="C49" s="349">
        <v>8965.5</v>
      </c>
      <c r="D49" s="362">
        <v>0</v>
      </c>
      <c r="E49" s="121">
        <v>0</v>
      </c>
      <c r="F49" s="362">
        <v>180</v>
      </c>
      <c r="G49" s="121">
        <v>8965.5</v>
      </c>
      <c r="H49" s="122" t="s">
        <v>806</v>
      </c>
      <c r="I49" s="122">
        <v>156.33</v>
      </c>
      <c r="J49" s="262"/>
      <c r="K49" s="262"/>
    </row>
    <row r="50" spans="1:11" ht="14.25" customHeight="1">
      <c r="A50" s="119" t="s">
        <v>226</v>
      </c>
      <c r="B50" s="114"/>
      <c r="C50" s="349">
        <v>0</v>
      </c>
      <c r="D50" s="362">
        <v>15</v>
      </c>
      <c r="E50" s="121">
        <v>747.6</v>
      </c>
      <c r="F50" s="362">
        <v>15</v>
      </c>
      <c r="G50" s="121">
        <v>747.6</v>
      </c>
      <c r="H50" s="122" t="s">
        <v>807</v>
      </c>
      <c r="I50" s="122">
        <v>174.72</v>
      </c>
      <c r="J50" s="262"/>
      <c r="K50" s="262"/>
    </row>
    <row r="51" spans="1:11" ht="14.25" customHeight="1">
      <c r="A51" s="119" t="s">
        <v>90</v>
      </c>
      <c r="B51" s="362">
        <v>15</v>
      </c>
      <c r="C51" s="349">
        <v>748.5</v>
      </c>
      <c r="D51" s="362">
        <v>0</v>
      </c>
      <c r="E51" s="121">
        <v>0</v>
      </c>
      <c r="F51" s="362">
        <v>15</v>
      </c>
      <c r="G51" s="121">
        <v>748.5</v>
      </c>
      <c r="H51" s="122" t="s">
        <v>808</v>
      </c>
      <c r="I51" s="122">
        <v>186.78</v>
      </c>
      <c r="J51" s="262"/>
      <c r="K51" s="262"/>
    </row>
    <row r="52" spans="1:11" ht="14.25" customHeight="1">
      <c r="A52" s="119" t="s">
        <v>155</v>
      </c>
      <c r="B52" s="362">
        <v>10</v>
      </c>
      <c r="C52" s="349">
        <v>500</v>
      </c>
      <c r="D52" s="362">
        <v>0</v>
      </c>
      <c r="E52" s="121">
        <v>0</v>
      </c>
      <c r="F52" s="362">
        <v>10</v>
      </c>
      <c r="G52" s="121">
        <v>500</v>
      </c>
      <c r="H52" s="122">
        <v>65000</v>
      </c>
      <c r="I52" s="122">
        <v>130</v>
      </c>
      <c r="J52" s="262"/>
      <c r="K52" s="262"/>
    </row>
    <row r="53" spans="1:11" ht="14.25" customHeight="1">
      <c r="A53" s="119" t="s">
        <v>92</v>
      </c>
      <c r="B53" s="362">
        <v>230</v>
      </c>
      <c r="C53" s="349">
        <v>11467</v>
      </c>
      <c r="D53" s="362">
        <v>50</v>
      </c>
      <c r="E53" s="121">
        <v>2496.8</v>
      </c>
      <c r="F53" s="362">
        <v>280</v>
      </c>
      <c r="G53" s="121">
        <v>13963.8</v>
      </c>
      <c r="H53" s="122">
        <v>1514223.2</v>
      </c>
      <c r="I53" s="122">
        <v>108.4391927698764</v>
      </c>
      <c r="J53" s="262"/>
      <c r="K53" s="262"/>
    </row>
    <row r="54" spans="1:11" ht="14.25" customHeight="1">
      <c r="A54" s="119" t="s">
        <v>229</v>
      </c>
      <c r="B54" s="362">
        <v>140</v>
      </c>
      <c r="C54" s="349">
        <v>6977.5</v>
      </c>
      <c r="D54" s="362">
        <v>0</v>
      </c>
      <c r="E54" s="121">
        <v>0</v>
      </c>
      <c r="F54" s="362">
        <v>140</v>
      </c>
      <c r="G54" s="121">
        <v>6977.5</v>
      </c>
      <c r="H54" s="122" t="s">
        <v>809</v>
      </c>
      <c r="I54" s="122">
        <v>116.5</v>
      </c>
      <c r="J54" s="262"/>
      <c r="K54" s="262"/>
    </row>
    <row r="55" spans="1:11" ht="14.25" customHeight="1">
      <c r="A55" s="119" t="s">
        <v>157</v>
      </c>
      <c r="B55" s="362">
        <v>30</v>
      </c>
      <c r="C55" s="349">
        <v>1498.5</v>
      </c>
      <c r="D55" s="362">
        <v>0</v>
      </c>
      <c r="E55" s="121">
        <v>0</v>
      </c>
      <c r="F55" s="362">
        <v>30</v>
      </c>
      <c r="G55" s="121">
        <v>1498.5</v>
      </c>
      <c r="H55" s="122" t="s">
        <v>810</v>
      </c>
      <c r="I55" s="122">
        <v>178.71</v>
      </c>
      <c r="J55" s="262"/>
      <c r="K55" s="262"/>
    </row>
    <row r="56" spans="1:11" s="373" customFormat="1" ht="14.25" customHeight="1">
      <c r="A56" s="119"/>
      <c r="B56" s="362"/>
      <c r="C56" s="349"/>
      <c r="D56" s="362"/>
      <c r="E56" s="121"/>
      <c r="F56" s="362"/>
      <c r="G56" s="121"/>
      <c r="H56" s="122"/>
      <c r="I56" s="122"/>
      <c r="J56" s="262"/>
      <c r="K56" s="262"/>
    </row>
    <row r="57" spans="1:11" s="373" customFormat="1" ht="14.25" customHeight="1">
      <c r="A57" s="119"/>
      <c r="B57" s="362"/>
      <c r="C57" s="349"/>
      <c r="D57" s="362"/>
      <c r="E57" s="121"/>
      <c r="F57" s="362"/>
      <c r="G57" s="121"/>
      <c r="H57" s="122"/>
      <c r="I57" s="122"/>
      <c r="J57" s="262"/>
      <c r="K57" s="262"/>
    </row>
    <row r="58" spans="1:11" s="373" customFormat="1" ht="14.25" customHeight="1">
      <c r="A58" s="119"/>
      <c r="B58" s="362"/>
      <c r="C58" s="349"/>
      <c r="D58" s="362"/>
      <c r="E58" s="121"/>
      <c r="F58" s="362"/>
      <c r="G58" s="121"/>
      <c r="H58" s="122"/>
      <c r="I58" s="122"/>
      <c r="J58" s="262"/>
      <c r="K58" s="262"/>
    </row>
    <row r="59" spans="1:11" s="373" customFormat="1" ht="14.25" customHeight="1">
      <c r="A59" s="119"/>
      <c r="B59" s="362"/>
      <c r="C59" s="349"/>
      <c r="D59" s="362"/>
      <c r="E59" s="121"/>
      <c r="F59" s="362"/>
      <c r="G59" s="121"/>
      <c r="H59" s="122"/>
      <c r="I59" s="122"/>
      <c r="J59" s="262"/>
      <c r="K59" s="262"/>
    </row>
    <row r="60" spans="1:11" s="373" customFormat="1" ht="14.25" customHeight="1">
      <c r="A60" s="119"/>
      <c r="B60" s="362"/>
      <c r="C60" s="349"/>
      <c r="D60" s="362"/>
      <c r="E60" s="121"/>
      <c r="F60" s="362"/>
      <c r="G60" s="121"/>
      <c r="H60" s="122"/>
      <c r="I60" s="122"/>
      <c r="J60" s="262"/>
      <c r="K60" s="262"/>
    </row>
    <row r="61" spans="1:11" s="373" customFormat="1" ht="14.25" customHeight="1">
      <c r="A61" s="119"/>
      <c r="B61" s="362"/>
      <c r="C61" s="349"/>
      <c r="D61" s="362"/>
      <c r="E61" s="121"/>
      <c r="F61" s="362"/>
      <c r="G61" s="121"/>
      <c r="H61" s="122"/>
      <c r="I61" s="122"/>
      <c r="J61" s="262"/>
      <c r="K61" s="262"/>
    </row>
    <row r="62" spans="1:11" s="373" customFormat="1" ht="14.25" customHeight="1">
      <c r="A62" s="119"/>
      <c r="B62" s="362"/>
      <c r="C62" s="349"/>
      <c r="D62" s="362"/>
      <c r="E62" s="121"/>
      <c r="F62" s="362"/>
      <c r="G62" s="121"/>
      <c r="H62" s="122"/>
      <c r="I62" s="122"/>
      <c r="J62" s="262"/>
      <c r="K62" s="262"/>
    </row>
    <row r="63" spans="1:11" s="373" customFormat="1" ht="14.25" customHeight="1">
      <c r="A63" s="119"/>
      <c r="B63" s="362"/>
      <c r="C63" s="349"/>
      <c r="D63" s="362"/>
      <c r="E63" s="121"/>
      <c r="F63" s="362"/>
      <c r="G63" s="121"/>
      <c r="H63" s="122"/>
      <c r="I63" s="122"/>
      <c r="J63" s="262"/>
      <c r="K63" s="262"/>
    </row>
    <row r="64" spans="1:11" s="373" customFormat="1" ht="14.25" customHeight="1">
      <c r="A64" s="119"/>
      <c r="B64" s="362"/>
      <c r="C64" s="349"/>
      <c r="D64" s="362"/>
      <c r="E64" s="121"/>
      <c r="F64" s="362"/>
      <c r="G64" s="121"/>
      <c r="H64" s="122"/>
      <c r="I64" s="122"/>
      <c r="J64" s="262"/>
      <c r="K64" s="262"/>
    </row>
    <row r="65" spans="1:11" s="373" customFormat="1" ht="14.25" customHeight="1">
      <c r="A65" s="119"/>
      <c r="B65" s="362"/>
      <c r="C65" s="349"/>
      <c r="D65" s="362"/>
      <c r="E65" s="121"/>
      <c r="F65" s="362"/>
      <c r="G65" s="121"/>
      <c r="H65" s="122"/>
      <c r="I65" s="122"/>
      <c r="J65" s="262"/>
      <c r="K65" s="262"/>
    </row>
    <row r="66" spans="1:11" s="373" customFormat="1" ht="14.25" customHeight="1">
      <c r="A66" s="119"/>
      <c r="B66" s="362"/>
      <c r="C66" s="349"/>
      <c r="D66" s="362"/>
      <c r="E66" s="121"/>
      <c r="F66" s="362"/>
      <c r="G66" s="121"/>
      <c r="H66" s="122"/>
      <c r="I66" s="122"/>
      <c r="J66" s="262"/>
      <c r="K66" s="262"/>
    </row>
    <row r="67" spans="1:11" s="373" customFormat="1" ht="14.25" customHeight="1">
      <c r="A67" s="119"/>
      <c r="B67" s="362"/>
      <c r="C67" s="349"/>
      <c r="D67" s="362"/>
      <c r="E67" s="121"/>
      <c r="F67" s="362"/>
      <c r="G67" s="121"/>
      <c r="H67" s="122"/>
      <c r="I67" s="122"/>
      <c r="J67" s="262"/>
      <c r="K67" s="262"/>
    </row>
    <row r="68" spans="1:11" s="373" customFormat="1" ht="14.25" customHeight="1">
      <c r="A68" s="119"/>
      <c r="B68" s="362"/>
      <c r="C68" s="349"/>
      <c r="D68" s="362"/>
      <c r="E68" s="121"/>
      <c r="F68" s="362"/>
      <c r="G68" s="121"/>
      <c r="H68" s="122"/>
      <c r="I68" s="122"/>
      <c r="J68" s="262"/>
      <c r="K68" s="262"/>
    </row>
    <row r="69" spans="1:11" s="373" customFormat="1" ht="14.25" customHeight="1">
      <c r="A69" s="119"/>
      <c r="B69" s="362"/>
      <c r="C69" s="349"/>
      <c r="D69" s="362"/>
      <c r="E69" s="121"/>
      <c r="F69" s="362"/>
      <c r="G69" s="121"/>
      <c r="H69" s="122"/>
      <c r="I69" s="122"/>
      <c r="J69" s="262"/>
      <c r="K69" s="262"/>
    </row>
    <row r="70" spans="1:11" ht="14.25" customHeight="1">
      <c r="A70" s="119" t="s">
        <v>233</v>
      </c>
      <c r="B70" s="362">
        <v>30</v>
      </c>
      <c r="C70" s="349">
        <v>1494</v>
      </c>
      <c r="D70" s="362">
        <v>0</v>
      </c>
      <c r="E70" s="121">
        <v>0</v>
      </c>
      <c r="F70" s="362">
        <v>30</v>
      </c>
      <c r="G70" s="121">
        <v>1494</v>
      </c>
      <c r="H70" s="122" t="s">
        <v>811</v>
      </c>
      <c r="I70" s="122">
        <v>107.33</v>
      </c>
      <c r="J70" s="262"/>
      <c r="K70" s="262"/>
    </row>
    <row r="71" spans="1:11" ht="14.25" customHeight="1">
      <c r="A71" s="119" t="s">
        <v>94</v>
      </c>
      <c r="B71" s="362">
        <v>120</v>
      </c>
      <c r="C71" s="349">
        <v>5980.5</v>
      </c>
      <c r="D71" s="362">
        <v>10</v>
      </c>
      <c r="E71" s="121">
        <v>499.2</v>
      </c>
      <c r="F71" s="362">
        <v>130</v>
      </c>
      <c r="G71" s="121">
        <v>6479.7</v>
      </c>
      <c r="H71" s="122" t="s">
        <v>812</v>
      </c>
      <c r="I71" s="122">
        <v>157.54</v>
      </c>
      <c r="J71" s="262"/>
      <c r="K71" s="262"/>
    </row>
    <row r="72" spans="1:11" ht="14.25" customHeight="1">
      <c r="A72" s="119" t="s">
        <v>190</v>
      </c>
      <c r="B72" s="362">
        <v>30</v>
      </c>
      <c r="C72" s="349">
        <v>1495.5</v>
      </c>
      <c r="D72" s="362">
        <v>0</v>
      </c>
      <c r="E72" s="121">
        <v>0</v>
      </c>
      <c r="F72" s="362">
        <v>30</v>
      </c>
      <c r="G72" s="121">
        <v>1495.5</v>
      </c>
      <c r="H72" s="122" t="s">
        <v>813</v>
      </c>
      <c r="I72" s="122">
        <v>125.67</v>
      </c>
      <c r="J72" s="262"/>
      <c r="K72" s="262"/>
    </row>
    <row r="73" spans="1:11" ht="14.25" customHeight="1">
      <c r="A73" s="119" t="s">
        <v>96</v>
      </c>
      <c r="B73" s="362">
        <v>10</v>
      </c>
      <c r="C73" s="349">
        <v>497</v>
      </c>
      <c r="D73" s="362">
        <v>0</v>
      </c>
      <c r="E73" s="121">
        <v>0</v>
      </c>
      <c r="F73" s="362">
        <v>10</v>
      </c>
      <c r="G73" s="121">
        <v>497</v>
      </c>
      <c r="H73" s="122">
        <v>53676</v>
      </c>
      <c r="I73" s="122">
        <v>108</v>
      </c>
      <c r="J73" s="262"/>
      <c r="K73" s="262"/>
    </row>
    <row r="74" spans="1:11" ht="14.25" customHeight="1">
      <c r="A74" s="119" t="s">
        <v>98</v>
      </c>
      <c r="B74" s="362">
        <v>192</v>
      </c>
      <c r="C74" s="349">
        <v>9583</v>
      </c>
      <c r="D74" s="362">
        <v>60</v>
      </c>
      <c r="E74" s="121">
        <v>2993.8999999999996</v>
      </c>
      <c r="F74" s="362">
        <v>252</v>
      </c>
      <c r="G74" s="121">
        <v>12576.9</v>
      </c>
      <c r="H74" s="122">
        <v>2580176.5</v>
      </c>
      <c r="I74" s="122">
        <v>205.15202474377628</v>
      </c>
      <c r="J74" s="262"/>
      <c r="K74" s="262"/>
    </row>
    <row r="75" spans="1:11" ht="14.25" customHeight="1">
      <c r="A75" s="119" t="s">
        <v>237</v>
      </c>
      <c r="B75" s="362">
        <v>30</v>
      </c>
      <c r="C75" s="349">
        <v>1497</v>
      </c>
      <c r="D75" s="362">
        <v>0</v>
      </c>
      <c r="E75" s="121">
        <v>0</v>
      </c>
      <c r="F75" s="362">
        <v>30</v>
      </c>
      <c r="G75" s="121">
        <v>1497</v>
      </c>
      <c r="H75" s="122" t="s">
        <v>814</v>
      </c>
      <c r="I75" s="122">
        <v>186.33</v>
      </c>
      <c r="J75" s="262"/>
      <c r="K75" s="262"/>
    </row>
    <row r="76" spans="1:11" ht="14.25" customHeight="1">
      <c r="A76" s="119" t="s">
        <v>99</v>
      </c>
      <c r="B76" s="114"/>
      <c r="C76" s="349">
        <v>0</v>
      </c>
      <c r="D76" s="362">
        <v>85</v>
      </c>
      <c r="E76" s="121">
        <v>4239.6</v>
      </c>
      <c r="F76" s="362">
        <v>85</v>
      </c>
      <c r="G76" s="121">
        <v>4239.6</v>
      </c>
      <c r="H76" s="122" t="s">
        <v>815</v>
      </c>
      <c r="I76" s="122">
        <v>228.99</v>
      </c>
      <c r="J76" s="262"/>
      <c r="K76" s="262"/>
    </row>
    <row r="77" spans="1:11" ht="14.25" customHeight="1">
      <c r="A77" s="119" t="s">
        <v>489</v>
      </c>
      <c r="B77" s="362">
        <v>20</v>
      </c>
      <c r="C77" s="349">
        <v>998.5</v>
      </c>
      <c r="D77" s="362">
        <v>0</v>
      </c>
      <c r="E77" s="121">
        <v>0</v>
      </c>
      <c r="F77" s="362">
        <v>20</v>
      </c>
      <c r="G77" s="121">
        <v>998.5</v>
      </c>
      <c r="H77" s="122" t="s">
        <v>816</v>
      </c>
      <c r="I77" s="122">
        <v>216</v>
      </c>
      <c r="J77" s="262"/>
      <c r="K77" s="262"/>
    </row>
    <row r="78" spans="1:11" ht="14.25" customHeight="1">
      <c r="A78" s="119" t="s">
        <v>101</v>
      </c>
      <c r="B78" s="362">
        <v>80</v>
      </c>
      <c r="C78" s="349">
        <v>3982</v>
      </c>
      <c r="D78" s="362">
        <v>0</v>
      </c>
      <c r="E78" s="121">
        <v>0</v>
      </c>
      <c r="F78" s="362">
        <v>80</v>
      </c>
      <c r="G78" s="121">
        <v>3982</v>
      </c>
      <c r="H78" s="122" t="s">
        <v>817</v>
      </c>
      <c r="I78" s="122">
        <v>113.38</v>
      </c>
      <c r="J78" s="262"/>
      <c r="K78" s="262"/>
    </row>
    <row r="79" spans="1:11" ht="14.25" customHeight="1">
      <c r="A79" s="119" t="s">
        <v>395</v>
      </c>
      <c r="B79" s="114"/>
      <c r="C79" s="349">
        <v>0</v>
      </c>
      <c r="D79" s="362">
        <v>5</v>
      </c>
      <c r="E79" s="121">
        <v>249.2</v>
      </c>
      <c r="F79" s="362">
        <v>5</v>
      </c>
      <c r="G79" s="121">
        <v>249.2</v>
      </c>
      <c r="H79" s="122">
        <v>60057.2</v>
      </c>
      <c r="I79" s="122">
        <v>241</v>
      </c>
      <c r="J79" s="262"/>
      <c r="K79" s="262"/>
    </row>
    <row r="80" spans="1:11" ht="14.25" customHeight="1">
      <c r="A80" s="119" t="s">
        <v>271</v>
      </c>
      <c r="B80" s="362">
        <v>86</v>
      </c>
      <c r="C80" s="349">
        <v>4288</v>
      </c>
      <c r="D80" s="362">
        <v>0</v>
      </c>
      <c r="E80" s="121">
        <v>0</v>
      </c>
      <c r="F80" s="362">
        <v>86</v>
      </c>
      <c r="G80" s="121">
        <v>4288</v>
      </c>
      <c r="H80" s="122" t="s">
        <v>818</v>
      </c>
      <c r="I80" s="122">
        <v>269.1</v>
      </c>
      <c r="J80" s="262"/>
      <c r="K80" s="262"/>
    </row>
    <row r="81" spans="1:11" ht="14.25" customHeight="1">
      <c r="A81" s="119" t="s">
        <v>194</v>
      </c>
      <c r="B81" s="362">
        <v>23</v>
      </c>
      <c r="C81" s="349">
        <v>1148.5</v>
      </c>
      <c r="D81" s="362">
        <v>0</v>
      </c>
      <c r="E81" s="121">
        <v>0</v>
      </c>
      <c r="F81" s="362">
        <v>23</v>
      </c>
      <c r="G81" s="121">
        <v>1148.5</v>
      </c>
      <c r="H81" s="122" t="s">
        <v>819</v>
      </c>
      <c r="I81" s="122">
        <v>263.97</v>
      </c>
      <c r="J81" s="262"/>
      <c r="K81" s="262"/>
    </row>
    <row r="82" spans="1:11" ht="14.25" customHeight="1">
      <c r="A82" s="119" t="s">
        <v>14</v>
      </c>
      <c r="B82" s="363">
        <v>5126</v>
      </c>
      <c r="C82" s="343" t="s">
        <v>820</v>
      </c>
      <c r="D82" s="362">
        <v>660</v>
      </c>
      <c r="E82" s="121">
        <v>32936.9</v>
      </c>
      <c r="F82" s="363">
        <v>5786</v>
      </c>
      <c r="G82" s="122" t="s">
        <v>821</v>
      </c>
      <c r="H82" s="122" t="s">
        <v>822</v>
      </c>
      <c r="I82" s="122">
        <v>161.15</v>
      </c>
      <c r="J82" s="262"/>
      <c r="K82" s="262"/>
    </row>
    <row r="83" spans="1:10" ht="14.25" customHeight="1">
      <c r="A83" s="344"/>
      <c r="B83" s="355"/>
      <c r="C83" s="342"/>
      <c r="D83" s="355"/>
      <c r="E83" s="355"/>
      <c r="F83" s="355"/>
      <c r="G83" s="342"/>
      <c r="H83" s="355"/>
      <c r="I83" s="355"/>
      <c r="J83" s="1"/>
    </row>
    <row r="84" spans="1:10" ht="14.25" customHeight="1">
      <c r="A84" s="344"/>
      <c r="B84" s="355"/>
      <c r="C84" s="342"/>
      <c r="D84" s="355"/>
      <c r="E84" s="117"/>
      <c r="F84" s="356"/>
      <c r="G84" s="342" t="s">
        <v>119</v>
      </c>
      <c r="H84" s="118"/>
      <c r="I84" s="118"/>
      <c r="J84" s="1"/>
    </row>
    <row r="85" spans="1:10" ht="14.25" customHeight="1">
      <c r="A85" s="344"/>
      <c r="B85" s="355"/>
      <c r="C85" s="342"/>
      <c r="D85" s="355"/>
      <c r="E85" s="114"/>
      <c r="F85" s="117"/>
      <c r="G85" s="359" t="s">
        <v>121</v>
      </c>
      <c r="H85" s="118"/>
      <c r="I85" s="118"/>
      <c r="J85" s="1"/>
    </row>
    <row r="86" spans="1:9" ht="14.25" customHeight="1">
      <c r="A86" s="344"/>
      <c r="B86" s="355"/>
      <c r="C86" s="342"/>
      <c r="D86" s="355"/>
      <c r="E86" s="117"/>
      <c r="F86" s="355"/>
      <c r="G86" s="342"/>
      <c r="H86" s="118"/>
      <c r="I86" s="118"/>
    </row>
    <row r="87" spans="1:9" ht="14.25" customHeight="1">
      <c r="A87" s="329" t="s">
        <v>117</v>
      </c>
      <c r="B87" s="355"/>
      <c r="C87" s="342"/>
      <c r="D87" s="355"/>
      <c r="E87" s="117"/>
      <c r="F87" s="355"/>
      <c r="G87" s="342"/>
      <c r="H87" s="118"/>
      <c r="I87" s="118"/>
    </row>
    <row r="88" spans="1:9" ht="14.25" customHeight="1">
      <c r="A88" s="329" t="s">
        <v>118</v>
      </c>
      <c r="B88" s="355"/>
      <c r="C88" s="342"/>
      <c r="D88" s="355"/>
      <c r="E88" s="117"/>
      <c r="F88" s="355"/>
      <c r="G88" s="342"/>
      <c r="H88" s="118"/>
      <c r="I88" s="118"/>
    </row>
    <row r="89" spans="1:9" ht="14.25" customHeight="1">
      <c r="A89" s="329" t="s">
        <v>120</v>
      </c>
      <c r="B89" s="355"/>
      <c r="C89" s="342"/>
      <c r="D89" s="355"/>
      <c r="E89" s="117"/>
      <c r="F89" s="355"/>
      <c r="G89" s="342"/>
      <c r="H89" s="118"/>
      <c r="I89" s="118"/>
    </row>
    <row r="90" spans="1:9" ht="14.25" customHeight="1">
      <c r="A90" s="329" t="s">
        <v>122</v>
      </c>
      <c r="B90" s="355"/>
      <c r="C90" s="342"/>
      <c r="D90" s="355"/>
      <c r="E90" s="117"/>
      <c r="F90" s="355"/>
      <c r="G90" s="342"/>
      <c r="H90" s="118"/>
      <c r="I90" s="118"/>
    </row>
    <row r="91" spans="1:9" ht="14.25" customHeight="1">
      <c r="A91" s="329" t="s">
        <v>123</v>
      </c>
      <c r="B91" s="355"/>
      <c r="C91" s="342"/>
      <c r="D91" s="355"/>
      <c r="E91" s="117"/>
      <c r="F91" s="355"/>
      <c r="G91" s="342"/>
      <c r="H91" s="118"/>
      <c r="I91" s="118"/>
    </row>
  </sheetData>
  <sheetProtection/>
  <printOptions/>
  <pageMargins left="0.95" right="0.95" top="0.58" bottom="0.5" header="0.3" footer="0.3"/>
  <pageSetup horizontalDpi="600" verticalDpi="600" orientation="portrait" paperSize="9" scale="80" r:id="rId1"/>
  <headerFooter>
    <oddHeader>&amp;RProduce Brokers Limited
1349/A, North Agrabad, D.T. Road Askarabad (1st floor)
Chattogram-4224
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0.140625" style="373" customWidth="1"/>
    <col min="2" max="2" width="7.140625" style="31" customWidth="1"/>
    <col min="3" max="3" width="10.28125" style="360" customWidth="1"/>
    <col min="4" max="4" width="7.7109375" style="31" customWidth="1"/>
    <col min="5" max="5" width="9.421875" style="244" customWidth="1"/>
    <col min="6" max="6" width="7.7109375" style="31" customWidth="1"/>
    <col min="7" max="7" width="11.421875" style="360" bestFit="1" customWidth="1"/>
    <col min="8" max="8" width="14.140625" style="48" bestFit="1" customWidth="1"/>
    <col min="9" max="9" width="8.8515625" style="48" customWidth="1"/>
    <col min="10" max="10" width="10.28125" style="373" bestFit="1" customWidth="1"/>
    <col min="11" max="16384" width="8.8515625" style="373" customWidth="1"/>
  </cols>
  <sheetData>
    <row r="1" spans="1:11" ht="14.25" customHeight="1">
      <c r="A1" s="329" t="s">
        <v>823</v>
      </c>
      <c r="B1" s="330"/>
      <c r="C1" s="331"/>
      <c r="D1" s="330"/>
      <c r="E1" s="332"/>
      <c r="F1" s="330"/>
      <c r="G1" s="331"/>
      <c r="H1" s="333"/>
      <c r="I1" s="333"/>
      <c r="J1" s="262"/>
      <c r="K1" s="262"/>
    </row>
    <row r="2" spans="1:11" ht="14.25" customHeight="1">
      <c r="A2" s="329" t="s">
        <v>824</v>
      </c>
      <c r="B2" s="330"/>
      <c r="C2" s="331"/>
      <c r="D2" s="330"/>
      <c r="E2" s="332"/>
      <c r="F2" s="330"/>
      <c r="G2" s="331"/>
      <c r="H2" s="333"/>
      <c r="I2" s="333"/>
      <c r="J2" s="262"/>
      <c r="K2" s="262"/>
    </row>
    <row r="3" spans="1:11" ht="14.25" customHeight="1">
      <c r="A3" s="329" t="s">
        <v>110</v>
      </c>
      <c r="B3" s="330"/>
      <c r="C3" s="331"/>
      <c r="D3" s="330"/>
      <c r="E3" s="332"/>
      <c r="F3" s="330"/>
      <c r="G3" s="331"/>
      <c r="H3" s="333"/>
      <c r="I3" s="333"/>
      <c r="J3" s="262"/>
      <c r="K3" s="262"/>
    </row>
    <row r="4" spans="1:11" ht="14.25" customHeight="1">
      <c r="A4" s="329" t="s">
        <v>5</v>
      </c>
      <c r="B4" s="330"/>
      <c r="C4" s="331"/>
      <c r="D4" s="330"/>
      <c r="E4" s="332"/>
      <c r="F4" s="330"/>
      <c r="G4" s="331"/>
      <c r="H4" s="333"/>
      <c r="I4" s="333"/>
      <c r="J4" s="262"/>
      <c r="K4" s="262"/>
    </row>
    <row r="5" spans="1:11" ht="14.25" customHeight="1">
      <c r="A5" s="329" t="s">
        <v>6</v>
      </c>
      <c r="B5" s="330"/>
      <c r="C5" s="331"/>
      <c r="D5" s="330"/>
      <c r="E5" s="334"/>
      <c r="F5" s="330"/>
      <c r="G5" s="331"/>
      <c r="H5" s="333"/>
      <c r="I5" s="333"/>
      <c r="J5" s="262"/>
      <c r="K5" s="262"/>
    </row>
    <row r="6" spans="1:11" ht="14.25" customHeight="1">
      <c r="A6" s="329" t="s">
        <v>111</v>
      </c>
      <c r="B6" s="330"/>
      <c r="C6" s="331"/>
      <c r="D6" s="330"/>
      <c r="E6" s="332"/>
      <c r="F6" s="330"/>
      <c r="G6" s="331"/>
      <c r="H6" s="333"/>
      <c r="I6" s="333"/>
      <c r="J6" s="262"/>
      <c r="K6" s="262"/>
    </row>
    <row r="7" spans="1:11" ht="14.25" customHeight="1">
      <c r="A7" s="329" t="s">
        <v>112</v>
      </c>
      <c r="B7" s="330"/>
      <c r="C7" s="331"/>
      <c r="D7" s="330"/>
      <c r="E7" s="335" t="s">
        <v>113</v>
      </c>
      <c r="F7" s="330"/>
      <c r="G7" s="331"/>
      <c r="H7" s="333"/>
      <c r="I7" s="333"/>
      <c r="J7" s="262"/>
      <c r="K7" s="262"/>
    </row>
    <row r="8" spans="1:11" ht="14.25" customHeight="1">
      <c r="A8" s="336" t="s">
        <v>825</v>
      </c>
      <c r="B8" s="337"/>
      <c r="C8" s="338"/>
      <c r="D8" s="337"/>
      <c r="E8" s="339"/>
      <c r="F8" s="337"/>
      <c r="G8" s="338"/>
      <c r="H8" s="340"/>
      <c r="I8" s="340"/>
      <c r="J8" s="262"/>
      <c r="K8" s="262"/>
    </row>
    <row r="9" spans="1:11" ht="14.25" customHeight="1">
      <c r="A9" s="114"/>
      <c r="B9" s="341" t="s">
        <v>45</v>
      </c>
      <c r="C9" s="342"/>
      <c r="D9" s="341" t="s">
        <v>46</v>
      </c>
      <c r="E9" s="342"/>
      <c r="F9" s="341"/>
      <c r="G9" s="343" t="s">
        <v>47</v>
      </c>
      <c r="H9" s="118"/>
      <c r="I9" s="118"/>
      <c r="J9" s="262"/>
      <c r="K9" s="262"/>
    </row>
    <row r="10" spans="1:11" ht="14.25" customHeight="1">
      <c r="A10" s="344" t="s">
        <v>461</v>
      </c>
      <c r="B10" s="345" t="s">
        <v>49</v>
      </c>
      <c r="C10" s="346" t="s">
        <v>50</v>
      </c>
      <c r="D10" s="345" t="s">
        <v>49</v>
      </c>
      <c r="E10" s="346" t="s">
        <v>50</v>
      </c>
      <c r="F10" s="345" t="s">
        <v>49</v>
      </c>
      <c r="G10" s="346" t="s">
        <v>50</v>
      </c>
      <c r="H10" s="347" t="s">
        <v>51</v>
      </c>
      <c r="I10" s="347" t="s">
        <v>52</v>
      </c>
      <c r="J10" s="262"/>
      <c r="K10" s="262"/>
    </row>
    <row r="11" spans="1:11" ht="14.25" customHeight="1">
      <c r="A11" s="119" t="s">
        <v>466</v>
      </c>
      <c r="B11" s="348"/>
      <c r="C11" s="343">
        <v>0</v>
      </c>
      <c r="D11" s="115"/>
      <c r="E11" s="121"/>
      <c r="F11" s="115"/>
      <c r="G11" s="343"/>
      <c r="H11" s="122"/>
      <c r="I11" s="350"/>
      <c r="J11" s="262"/>
      <c r="K11" s="262"/>
    </row>
    <row r="12" spans="1:11" ht="14.25" customHeight="1">
      <c r="A12" s="114" t="s">
        <v>14</v>
      </c>
      <c r="B12" s="122">
        <f aca="true" t="shared" si="0" ref="B12:H12">SUM(B11)</f>
        <v>0</v>
      </c>
      <c r="C12" s="343">
        <f t="shared" si="0"/>
        <v>0</v>
      </c>
      <c r="D12" s="341">
        <f t="shared" si="0"/>
        <v>0</v>
      </c>
      <c r="E12" s="343">
        <f t="shared" si="0"/>
        <v>0</v>
      </c>
      <c r="F12" s="341">
        <f t="shared" si="0"/>
        <v>0</v>
      </c>
      <c r="G12" s="343">
        <f t="shared" si="0"/>
        <v>0</v>
      </c>
      <c r="H12" s="122">
        <f t="shared" si="0"/>
        <v>0</v>
      </c>
      <c r="I12" s="122" t="e">
        <f>H12/G12</f>
        <v>#DIV/0!</v>
      </c>
      <c r="J12" s="262"/>
      <c r="K12" s="262"/>
    </row>
    <row r="13" spans="1:11" ht="14.25" customHeight="1">
      <c r="A13" s="344" t="s">
        <v>462</v>
      </c>
      <c r="B13" s="345" t="s">
        <v>49</v>
      </c>
      <c r="C13" s="346" t="s">
        <v>50</v>
      </c>
      <c r="D13" s="345" t="s">
        <v>49</v>
      </c>
      <c r="E13" s="346" t="s">
        <v>50</v>
      </c>
      <c r="F13" s="345" t="s">
        <v>49</v>
      </c>
      <c r="G13" s="346" t="s">
        <v>50</v>
      </c>
      <c r="H13" s="347" t="s">
        <v>51</v>
      </c>
      <c r="I13" s="347" t="s">
        <v>52</v>
      </c>
      <c r="J13" s="262"/>
      <c r="K13" s="262"/>
    </row>
    <row r="14" spans="1:11" ht="14.25" customHeight="1">
      <c r="A14" s="351" t="s">
        <v>53</v>
      </c>
      <c r="B14" s="341">
        <v>887</v>
      </c>
      <c r="C14" s="343">
        <v>44269</v>
      </c>
      <c r="D14" s="341">
        <v>60</v>
      </c>
      <c r="E14" s="343">
        <v>2995.2</v>
      </c>
      <c r="F14" s="341">
        <v>947</v>
      </c>
      <c r="G14" s="343">
        <v>47264.2</v>
      </c>
      <c r="H14" s="122" t="s">
        <v>826</v>
      </c>
      <c r="I14" s="122">
        <v>204.14</v>
      </c>
      <c r="J14" s="262"/>
      <c r="K14" s="262"/>
    </row>
    <row r="15" spans="1:11" ht="14.25" customHeight="1">
      <c r="A15" s="351" t="s">
        <v>322</v>
      </c>
      <c r="B15" s="341">
        <v>90</v>
      </c>
      <c r="C15" s="343">
        <v>4482</v>
      </c>
      <c r="D15" s="341">
        <v>20</v>
      </c>
      <c r="E15" s="343">
        <v>998.4</v>
      </c>
      <c r="F15" s="341">
        <v>110</v>
      </c>
      <c r="G15" s="343">
        <v>5480.4</v>
      </c>
      <c r="H15" s="122" t="s">
        <v>827</v>
      </c>
      <c r="I15" s="122">
        <v>179.33</v>
      </c>
      <c r="J15" s="262"/>
      <c r="K15" s="262"/>
    </row>
    <row r="16" spans="1:11" ht="14.25" customHeight="1">
      <c r="A16" s="351" t="s">
        <v>168</v>
      </c>
      <c r="B16" s="341">
        <v>10</v>
      </c>
      <c r="C16" s="343">
        <v>500</v>
      </c>
      <c r="D16" s="341">
        <v>0</v>
      </c>
      <c r="E16" s="343">
        <v>0</v>
      </c>
      <c r="F16" s="341">
        <v>10</v>
      </c>
      <c r="G16" s="343">
        <v>500</v>
      </c>
      <c r="H16" s="122" t="s">
        <v>828</v>
      </c>
      <c r="I16" s="122">
        <v>265</v>
      </c>
      <c r="J16" s="262"/>
      <c r="K16" s="262"/>
    </row>
    <row r="17" spans="1:11" ht="14.25" customHeight="1">
      <c r="A17" s="351" t="s">
        <v>128</v>
      </c>
      <c r="B17" s="341">
        <v>85</v>
      </c>
      <c r="C17" s="343">
        <v>4238</v>
      </c>
      <c r="D17" s="341">
        <v>0</v>
      </c>
      <c r="E17" s="343">
        <v>0</v>
      </c>
      <c r="F17" s="341">
        <v>85</v>
      </c>
      <c r="G17" s="343">
        <v>4238</v>
      </c>
      <c r="H17" s="122" t="s">
        <v>829</v>
      </c>
      <c r="I17" s="122">
        <v>173.98</v>
      </c>
      <c r="J17" s="262"/>
      <c r="K17" s="262"/>
    </row>
    <row r="18" spans="1:11" ht="14.25" customHeight="1">
      <c r="A18" s="351" t="s">
        <v>171</v>
      </c>
      <c r="B18" s="341">
        <v>90</v>
      </c>
      <c r="C18" s="343">
        <v>4495.5</v>
      </c>
      <c r="D18" s="341">
        <v>0</v>
      </c>
      <c r="E18" s="343">
        <v>0</v>
      </c>
      <c r="F18" s="341">
        <v>90</v>
      </c>
      <c r="G18" s="343">
        <v>4495.5</v>
      </c>
      <c r="H18" s="122" t="s">
        <v>830</v>
      </c>
      <c r="I18" s="122">
        <v>205.51</v>
      </c>
      <c r="J18" s="262"/>
      <c r="K18" s="262"/>
    </row>
    <row r="19" spans="1:11" ht="14.25" customHeight="1">
      <c r="A19" s="351" t="s">
        <v>722</v>
      </c>
      <c r="B19" s="341"/>
      <c r="C19" s="343">
        <v>0</v>
      </c>
      <c r="D19" s="341">
        <v>10</v>
      </c>
      <c r="E19" s="343">
        <v>499.2</v>
      </c>
      <c r="F19" s="341">
        <v>10</v>
      </c>
      <c r="G19" s="343">
        <v>499.2</v>
      </c>
      <c r="H19" s="122">
        <v>75878.4</v>
      </c>
      <c r="I19" s="122">
        <v>152</v>
      </c>
      <c r="J19" s="262"/>
      <c r="K19" s="262"/>
    </row>
    <row r="20" spans="1:11" ht="14.25" customHeight="1">
      <c r="A20" s="351" t="s">
        <v>57</v>
      </c>
      <c r="B20" s="341">
        <v>130</v>
      </c>
      <c r="C20" s="343">
        <v>6480.5</v>
      </c>
      <c r="D20" s="341">
        <v>0</v>
      </c>
      <c r="E20" s="343">
        <v>0</v>
      </c>
      <c r="F20" s="341">
        <v>130</v>
      </c>
      <c r="G20" s="343">
        <v>6480.5</v>
      </c>
      <c r="H20" s="122" t="s">
        <v>831</v>
      </c>
      <c r="I20" s="122">
        <v>180.85</v>
      </c>
      <c r="J20" s="262"/>
      <c r="K20" s="262"/>
    </row>
    <row r="21" spans="1:11" ht="14.25" customHeight="1">
      <c r="A21" s="351" t="s">
        <v>205</v>
      </c>
      <c r="B21" s="341">
        <v>10</v>
      </c>
      <c r="C21" s="343">
        <v>498.5</v>
      </c>
      <c r="D21" s="341">
        <v>0</v>
      </c>
      <c r="E21" s="343">
        <v>0</v>
      </c>
      <c r="F21" s="341">
        <v>10</v>
      </c>
      <c r="G21" s="343">
        <v>498.5</v>
      </c>
      <c r="H21" s="122" t="s">
        <v>66</v>
      </c>
      <c r="I21" s="122">
        <v>265</v>
      </c>
      <c r="J21" s="262"/>
      <c r="K21" s="262"/>
    </row>
    <row r="22" spans="1:11" ht="14.25" customHeight="1">
      <c r="A22" s="351" t="s">
        <v>174</v>
      </c>
      <c r="B22" s="341">
        <v>10</v>
      </c>
      <c r="C22" s="343">
        <v>498.5</v>
      </c>
      <c r="D22" s="341">
        <v>0</v>
      </c>
      <c r="E22" s="343">
        <v>0</v>
      </c>
      <c r="F22" s="341">
        <v>10</v>
      </c>
      <c r="G22" s="343">
        <v>498.5</v>
      </c>
      <c r="H22" s="122">
        <v>65802</v>
      </c>
      <c r="I22" s="122">
        <v>132</v>
      </c>
      <c r="J22" s="262"/>
      <c r="K22" s="262"/>
    </row>
    <row r="23" spans="1:11" ht="14.25" customHeight="1">
      <c r="A23" s="351" t="s">
        <v>176</v>
      </c>
      <c r="B23" s="341"/>
      <c r="C23" s="343">
        <v>0</v>
      </c>
      <c r="D23" s="341">
        <v>20</v>
      </c>
      <c r="E23" s="343">
        <v>998.4</v>
      </c>
      <c r="F23" s="341">
        <v>20</v>
      </c>
      <c r="G23" s="343">
        <v>998.4</v>
      </c>
      <c r="H23" s="122" t="s">
        <v>832</v>
      </c>
      <c r="I23" s="122">
        <v>186</v>
      </c>
      <c r="J23" s="262"/>
      <c r="K23" s="262"/>
    </row>
    <row r="24" spans="1:11" ht="14.25" customHeight="1">
      <c r="A24" s="351" t="s">
        <v>475</v>
      </c>
      <c r="B24" s="341">
        <v>235</v>
      </c>
      <c r="C24" s="343">
        <v>11721.5</v>
      </c>
      <c r="D24" s="341">
        <v>0</v>
      </c>
      <c r="E24" s="343">
        <v>0</v>
      </c>
      <c r="F24" s="341">
        <v>235</v>
      </c>
      <c r="G24" s="343">
        <v>11721.5</v>
      </c>
      <c r="H24" s="122" t="s">
        <v>833</v>
      </c>
      <c r="I24" s="122">
        <v>203.64</v>
      </c>
      <c r="J24" s="262"/>
      <c r="K24" s="262"/>
    </row>
    <row r="25" spans="1:11" ht="14.25" customHeight="1">
      <c r="A25" s="351" t="s">
        <v>63</v>
      </c>
      <c r="B25" s="341">
        <v>20</v>
      </c>
      <c r="C25" s="343">
        <v>998.5</v>
      </c>
      <c r="D25" s="341">
        <v>0</v>
      </c>
      <c r="E25" s="343">
        <v>0</v>
      </c>
      <c r="F25" s="341">
        <v>20</v>
      </c>
      <c r="G25" s="343">
        <v>998.5</v>
      </c>
      <c r="H25" s="122" t="s">
        <v>834</v>
      </c>
      <c r="I25" s="122">
        <v>292.01</v>
      </c>
      <c r="J25" s="262"/>
      <c r="K25" s="262"/>
    </row>
    <row r="26" spans="1:11" ht="14.25" customHeight="1">
      <c r="A26" s="351" t="s">
        <v>67</v>
      </c>
      <c r="B26" s="341">
        <v>105</v>
      </c>
      <c r="C26" s="343">
        <v>5242</v>
      </c>
      <c r="D26" s="341">
        <v>85</v>
      </c>
      <c r="E26" s="343">
        <v>4243.1</v>
      </c>
      <c r="F26" s="341">
        <v>190</v>
      </c>
      <c r="G26" s="343">
        <v>9485.1</v>
      </c>
      <c r="H26" s="122" t="s">
        <v>835</v>
      </c>
      <c r="I26" s="122">
        <v>175.86</v>
      </c>
      <c r="J26" s="262"/>
      <c r="K26" s="262"/>
    </row>
    <row r="27" spans="1:11" ht="14.25" customHeight="1">
      <c r="A27" s="351" t="s">
        <v>69</v>
      </c>
      <c r="B27" s="341">
        <v>210</v>
      </c>
      <c r="C27" s="343">
        <v>10462</v>
      </c>
      <c r="D27" s="341">
        <v>5</v>
      </c>
      <c r="E27" s="343">
        <v>249.5</v>
      </c>
      <c r="F27" s="341">
        <v>215</v>
      </c>
      <c r="G27" s="343">
        <v>10711.5</v>
      </c>
      <c r="H27" s="122" t="s">
        <v>836</v>
      </c>
      <c r="I27" s="122">
        <v>123.63</v>
      </c>
      <c r="J27" s="262"/>
      <c r="K27" s="262"/>
    </row>
    <row r="28" spans="1:11" ht="14.25" customHeight="1">
      <c r="A28" s="351" t="s">
        <v>71</v>
      </c>
      <c r="B28" s="341">
        <v>1105</v>
      </c>
      <c r="C28" s="343">
        <v>55163</v>
      </c>
      <c r="D28" s="341">
        <v>207</v>
      </c>
      <c r="E28" s="343">
        <v>10335.1</v>
      </c>
      <c r="F28" s="341">
        <v>1312</v>
      </c>
      <c r="G28" s="343">
        <v>65498.1</v>
      </c>
      <c r="H28" s="122" t="s">
        <v>837</v>
      </c>
      <c r="I28" s="122">
        <v>193.21</v>
      </c>
      <c r="J28" s="262"/>
      <c r="K28" s="262"/>
    </row>
    <row r="29" spans="1:11" ht="14.25" customHeight="1">
      <c r="A29" s="351" t="s">
        <v>141</v>
      </c>
      <c r="B29" s="341">
        <v>8</v>
      </c>
      <c r="C29" s="343">
        <v>399.5</v>
      </c>
      <c r="D29" s="341">
        <v>15</v>
      </c>
      <c r="E29" s="343">
        <v>748.2</v>
      </c>
      <c r="F29" s="341">
        <v>23</v>
      </c>
      <c r="G29" s="343">
        <v>1147.7</v>
      </c>
      <c r="H29" s="122" t="s">
        <v>838</v>
      </c>
      <c r="I29" s="122">
        <v>138.26</v>
      </c>
      <c r="J29" s="262"/>
      <c r="K29" s="262"/>
    </row>
    <row r="30" spans="1:11" ht="14.25" customHeight="1">
      <c r="A30" s="351" t="s">
        <v>73</v>
      </c>
      <c r="B30" s="341">
        <v>20</v>
      </c>
      <c r="C30" s="343">
        <v>997</v>
      </c>
      <c r="D30" s="341">
        <v>0</v>
      </c>
      <c r="E30" s="343">
        <v>0</v>
      </c>
      <c r="F30" s="341">
        <v>20</v>
      </c>
      <c r="G30" s="343">
        <v>997</v>
      </c>
      <c r="H30" s="122" t="s">
        <v>839</v>
      </c>
      <c r="I30" s="122">
        <v>187.5</v>
      </c>
      <c r="J30" s="262"/>
      <c r="K30" s="262"/>
    </row>
    <row r="31" spans="1:11" ht="14.25" customHeight="1">
      <c r="A31" s="351" t="s">
        <v>75</v>
      </c>
      <c r="B31" s="341">
        <v>40</v>
      </c>
      <c r="C31" s="343">
        <v>1994</v>
      </c>
      <c r="D31" s="341">
        <v>30</v>
      </c>
      <c r="E31" s="343">
        <v>1497.6</v>
      </c>
      <c r="F31" s="341">
        <v>70</v>
      </c>
      <c r="G31" s="343">
        <v>3491.6</v>
      </c>
      <c r="H31" s="122" t="s">
        <v>840</v>
      </c>
      <c r="I31" s="122">
        <v>243.47</v>
      </c>
      <c r="J31" s="262"/>
      <c r="K31" s="262"/>
    </row>
    <row r="32" spans="1:11" ht="14.25" customHeight="1">
      <c r="A32" s="351" t="s">
        <v>445</v>
      </c>
      <c r="B32" s="341">
        <v>25</v>
      </c>
      <c r="C32" s="343">
        <v>1242.5</v>
      </c>
      <c r="D32" s="341">
        <v>20</v>
      </c>
      <c r="E32" s="343">
        <v>998.4</v>
      </c>
      <c r="F32" s="341">
        <v>45</v>
      </c>
      <c r="G32" s="343">
        <v>2240.9</v>
      </c>
      <c r="H32" s="122" t="s">
        <v>841</v>
      </c>
      <c r="I32" s="122">
        <v>169.04</v>
      </c>
      <c r="J32" s="262"/>
      <c r="K32" s="262"/>
    </row>
    <row r="33" spans="1:11" ht="14.25" customHeight="1">
      <c r="A33" s="351" t="s">
        <v>842</v>
      </c>
      <c r="B33" s="341">
        <v>20</v>
      </c>
      <c r="C33" s="343">
        <v>997</v>
      </c>
      <c r="D33" s="341">
        <v>0</v>
      </c>
      <c r="E33" s="343">
        <v>0</v>
      </c>
      <c r="F33" s="341">
        <v>20</v>
      </c>
      <c r="G33" s="343">
        <v>997</v>
      </c>
      <c r="H33" s="122" t="s">
        <v>843</v>
      </c>
      <c r="I33" s="122">
        <v>203.5</v>
      </c>
      <c r="J33" s="262"/>
      <c r="K33" s="262"/>
    </row>
    <row r="34" spans="1:11" ht="14.25" customHeight="1">
      <c r="A34" s="351" t="s">
        <v>79</v>
      </c>
      <c r="B34" s="341"/>
      <c r="C34" s="343">
        <v>0</v>
      </c>
      <c r="D34" s="341">
        <v>10</v>
      </c>
      <c r="E34" s="343">
        <v>499</v>
      </c>
      <c r="F34" s="341">
        <v>10</v>
      </c>
      <c r="G34" s="343">
        <v>499</v>
      </c>
      <c r="H34" s="122">
        <v>69860</v>
      </c>
      <c r="I34" s="122">
        <v>140</v>
      </c>
      <c r="J34" s="262"/>
      <c r="K34" s="262"/>
    </row>
    <row r="35" spans="1:11" ht="14.25" customHeight="1">
      <c r="A35" s="351" t="s">
        <v>221</v>
      </c>
      <c r="B35" s="341">
        <v>50</v>
      </c>
      <c r="C35" s="343">
        <v>2494</v>
      </c>
      <c r="D35" s="341">
        <v>60</v>
      </c>
      <c r="E35" s="343">
        <v>2993.6</v>
      </c>
      <c r="F35" s="341">
        <v>110</v>
      </c>
      <c r="G35" s="343">
        <v>5487.6</v>
      </c>
      <c r="H35" s="122" t="s">
        <v>844</v>
      </c>
      <c r="I35" s="122">
        <v>165.46</v>
      </c>
      <c r="J35" s="262"/>
      <c r="K35" s="262"/>
    </row>
    <row r="36" spans="1:11" ht="14.25" customHeight="1">
      <c r="A36" s="351" t="s">
        <v>83</v>
      </c>
      <c r="B36" s="341">
        <v>335</v>
      </c>
      <c r="C36" s="343">
        <v>16715.5</v>
      </c>
      <c r="D36" s="341">
        <v>20</v>
      </c>
      <c r="E36" s="343">
        <v>998.4</v>
      </c>
      <c r="F36" s="341">
        <v>355</v>
      </c>
      <c r="G36" s="343">
        <v>17713.9</v>
      </c>
      <c r="H36" s="122" t="s">
        <v>845</v>
      </c>
      <c r="I36" s="122">
        <v>173.85</v>
      </c>
      <c r="J36" s="262"/>
      <c r="K36" s="262"/>
    </row>
    <row r="37" spans="1:11" ht="14.25" customHeight="1">
      <c r="A37" s="351" t="s">
        <v>85</v>
      </c>
      <c r="B37" s="341">
        <v>140</v>
      </c>
      <c r="C37" s="343">
        <v>6975.5</v>
      </c>
      <c r="D37" s="341">
        <v>20</v>
      </c>
      <c r="E37" s="343">
        <v>998.4</v>
      </c>
      <c r="F37" s="341">
        <v>160</v>
      </c>
      <c r="G37" s="343">
        <v>7973.9</v>
      </c>
      <c r="H37" s="122">
        <v>953510</v>
      </c>
      <c r="I37" s="122">
        <v>119.57887608322152</v>
      </c>
      <c r="J37" s="262"/>
      <c r="K37" s="262"/>
    </row>
    <row r="38" spans="1:11" ht="14.25" customHeight="1">
      <c r="A38" s="351" t="s">
        <v>150</v>
      </c>
      <c r="B38" s="341">
        <v>35</v>
      </c>
      <c r="C38" s="343">
        <v>1746</v>
      </c>
      <c r="D38" s="341">
        <v>40</v>
      </c>
      <c r="E38" s="343">
        <v>1996.6</v>
      </c>
      <c r="F38" s="341">
        <v>75</v>
      </c>
      <c r="G38" s="343">
        <v>3742.6</v>
      </c>
      <c r="H38" s="122" t="s">
        <v>846</v>
      </c>
      <c r="I38" s="122">
        <v>126.2</v>
      </c>
      <c r="J38" s="262"/>
      <c r="K38" s="262"/>
    </row>
    <row r="39" spans="1:11" ht="14.25" customHeight="1">
      <c r="A39" s="351" t="s">
        <v>226</v>
      </c>
      <c r="B39" s="341">
        <v>40</v>
      </c>
      <c r="C39" s="343">
        <v>1988</v>
      </c>
      <c r="D39" s="341">
        <v>103</v>
      </c>
      <c r="E39" s="343">
        <v>5140.5</v>
      </c>
      <c r="F39" s="341">
        <v>143</v>
      </c>
      <c r="G39" s="343">
        <v>7128.5</v>
      </c>
      <c r="H39" s="122" t="s">
        <v>847</v>
      </c>
      <c r="I39" s="122">
        <v>169.16</v>
      </c>
      <c r="J39" s="262"/>
      <c r="K39" s="262"/>
    </row>
    <row r="40" spans="1:11" ht="14.25" customHeight="1">
      <c r="A40" s="351" t="s">
        <v>92</v>
      </c>
      <c r="B40" s="341">
        <v>80</v>
      </c>
      <c r="C40" s="343">
        <v>3979</v>
      </c>
      <c r="D40" s="341">
        <v>30</v>
      </c>
      <c r="E40" s="343">
        <v>1497.4</v>
      </c>
      <c r="F40" s="341">
        <v>110</v>
      </c>
      <c r="G40" s="343">
        <v>5476.4</v>
      </c>
      <c r="H40" s="122" t="s">
        <v>848</v>
      </c>
      <c r="I40" s="122">
        <v>117.22</v>
      </c>
      <c r="J40" s="262"/>
      <c r="K40" s="262"/>
    </row>
    <row r="41" spans="1:11" ht="14.25" customHeight="1">
      <c r="A41" s="351" t="s">
        <v>229</v>
      </c>
      <c r="B41" s="341">
        <v>100</v>
      </c>
      <c r="C41" s="343">
        <v>4983.5</v>
      </c>
      <c r="D41" s="341">
        <v>0</v>
      </c>
      <c r="E41" s="343">
        <v>0</v>
      </c>
      <c r="F41" s="341">
        <v>100</v>
      </c>
      <c r="G41" s="343">
        <v>4983.5</v>
      </c>
      <c r="H41" s="122">
        <v>909633.5</v>
      </c>
      <c r="I41" s="122">
        <v>182.52904585130932</v>
      </c>
      <c r="J41" s="262"/>
      <c r="K41" s="262"/>
    </row>
    <row r="42" spans="1:11" ht="14.25" customHeight="1">
      <c r="A42" s="351" t="s">
        <v>233</v>
      </c>
      <c r="B42" s="341">
        <v>10</v>
      </c>
      <c r="C42" s="343">
        <v>500</v>
      </c>
      <c r="D42" s="341">
        <v>0</v>
      </c>
      <c r="E42" s="343">
        <v>0</v>
      </c>
      <c r="F42" s="341">
        <v>10</v>
      </c>
      <c r="G42" s="343">
        <v>500</v>
      </c>
      <c r="H42" s="122" t="s">
        <v>849</v>
      </c>
      <c r="I42" s="122">
        <v>213</v>
      </c>
      <c r="J42" s="262"/>
      <c r="K42" s="262"/>
    </row>
    <row r="43" spans="1:11" ht="14.25" customHeight="1">
      <c r="A43" s="351" t="s">
        <v>94</v>
      </c>
      <c r="B43" s="341">
        <v>65</v>
      </c>
      <c r="C43" s="343">
        <v>3239.5</v>
      </c>
      <c r="D43" s="341">
        <v>0</v>
      </c>
      <c r="E43" s="343">
        <v>0</v>
      </c>
      <c r="F43" s="341">
        <v>65</v>
      </c>
      <c r="G43" s="343">
        <v>3239.5</v>
      </c>
      <c r="H43" s="122" t="s">
        <v>850</v>
      </c>
      <c r="I43" s="122">
        <v>184.11</v>
      </c>
      <c r="J43" s="262"/>
      <c r="K43" s="262"/>
    </row>
    <row r="44" spans="1:11" ht="14.25" customHeight="1">
      <c r="A44" s="351" t="s">
        <v>190</v>
      </c>
      <c r="B44" s="341">
        <v>30</v>
      </c>
      <c r="C44" s="343">
        <v>1497</v>
      </c>
      <c r="D44" s="341">
        <v>0</v>
      </c>
      <c r="E44" s="343">
        <v>0</v>
      </c>
      <c r="F44" s="341">
        <v>30</v>
      </c>
      <c r="G44" s="343">
        <v>1497</v>
      </c>
      <c r="H44" s="122" t="s">
        <v>851</v>
      </c>
      <c r="I44" s="122">
        <v>161.39</v>
      </c>
      <c r="J44" s="262"/>
      <c r="K44" s="262"/>
    </row>
    <row r="45" spans="1:11" ht="14.25" customHeight="1">
      <c r="A45" s="351" t="s">
        <v>96</v>
      </c>
      <c r="B45" s="341">
        <v>90</v>
      </c>
      <c r="C45" s="343">
        <v>4473</v>
      </c>
      <c r="D45" s="341">
        <v>0</v>
      </c>
      <c r="E45" s="343">
        <v>0</v>
      </c>
      <c r="F45" s="341">
        <v>90</v>
      </c>
      <c r="G45" s="343">
        <v>4473</v>
      </c>
      <c r="H45" s="122" t="s">
        <v>852</v>
      </c>
      <c r="I45" s="122">
        <v>127.29</v>
      </c>
      <c r="J45" s="262"/>
      <c r="K45" s="262"/>
    </row>
    <row r="46" spans="1:11" ht="14.25" customHeight="1">
      <c r="A46" s="351" t="s">
        <v>98</v>
      </c>
      <c r="B46" s="341">
        <v>10</v>
      </c>
      <c r="C46" s="343">
        <v>498.5</v>
      </c>
      <c r="D46" s="341">
        <v>25</v>
      </c>
      <c r="E46" s="343">
        <v>1247.9</v>
      </c>
      <c r="F46" s="341">
        <v>35</v>
      </c>
      <c r="G46" s="343">
        <v>1746.4</v>
      </c>
      <c r="H46" s="122" t="s">
        <v>853</v>
      </c>
      <c r="I46" s="122">
        <v>142.72</v>
      </c>
      <c r="J46" s="262"/>
      <c r="K46" s="262"/>
    </row>
    <row r="47" spans="1:11" ht="14.25" customHeight="1">
      <c r="A47" s="351" t="s">
        <v>237</v>
      </c>
      <c r="B47" s="341">
        <v>60</v>
      </c>
      <c r="C47" s="343">
        <v>2994</v>
      </c>
      <c r="D47" s="341">
        <v>0</v>
      </c>
      <c r="E47" s="343">
        <v>0</v>
      </c>
      <c r="F47" s="341">
        <v>60</v>
      </c>
      <c r="G47" s="343">
        <v>2994</v>
      </c>
      <c r="H47" s="122" t="s">
        <v>854</v>
      </c>
      <c r="I47" s="122">
        <v>208.91</v>
      </c>
      <c r="J47" s="262"/>
      <c r="K47" s="262"/>
    </row>
    <row r="48" spans="1:11" ht="14.25" customHeight="1">
      <c r="A48" s="351" t="s">
        <v>552</v>
      </c>
      <c r="B48" s="341">
        <v>10</v>
      </c>
      <c r="C48" s="343">
        <v>498.5</v>
      </c>
      <c r="D48" s="341">
        <v>0</v>
      </c>
      <c r="E48" s="343">
        <v>0</v>
      </c>
      <c r="F48" s="341">
        <v>10</v>
      </c>
      <c r="G48" s="343">
        <v>498.5</v>
      </c>
      <c r="H48" s="122">
        <v>99201.5</v>
      </c>
      <c r="I48" s="122">
        <v>199</v>
      </c>
      <c r="J48" s="262"/>
      <c r="K48" s="262"/>
    </row>
    <row r="49" spans="1:11" ht="14.25" customHeight="1">
      <c r="A49" s="351" t="s">
        <v>578</v>
      </c>
      <c r="B49" s="341"/>
      <c r="C49" s="343">
        <v>0</v>
      </c>
      <c r="D49" s="341">
        <v>60</v>
      </c>
      <c r="E49" s="343">
        <v>2995.2</v>
      </c>
      <c r="F49" s="341">
        <v>60</v>
      </c>
      <c r="G49" s="343">
        <v>2995.2</v>
      </c>
      <c r="H49" s="122" t="s">
        <v>855</v>
      </c>
      <c r="I49" s="122">
        <v>158.33</v>
      </c>
      <c r="J49" s="262"/>
      <c r="K49" s="262"/>
    </row>
    <row r="50" spans="1:11" ht="14.25" customHeight="1">
      <c r="A50" s="351" t="s">
        <v>395</v>
      </c>
      <c r="B50" s="341">
        <v>10</v>
      </c>
      <c r="C50" s="343">
        <v>498.5</v>
      </c>
      <c r="D50" s="341">
        <v>0</v>
      </c>
      <c r="E50" s="343">
        <v>0</v>
      </c>
      <c r="F50" s="341">
        <v>10</v>
      </c>
      <c r="G50" s="343">
        <v>498.5</v>
      </c>
      <c r="H50" s="122" t="s">
        <v>856</v>
      </c>
      <c r="I50" s="122">
        <v>297</v>
      </c>
      <c r="J50" s="262"/>
      <c r="K50" s="262"/>
    </row>
    <row r="51" spans="1:11" ht="14.25" customHeight="1">
      <c r="A51" s="351" t="s">
        <v>14</v>
      </c>
      <c r="B51" s="341">
        <v>4145</v>
      </c>
      <c r="C51" s="343" t="s">
        <v>857</v>
      </c>
      <c r="D51" s="341">
        <v>840</v>
      </c>
      <c r="E51" s="343">
        <v>41930.1</v>
      </c>
      <c r="F51" s="341">
        <v>4985</v>
      </c>
      <c r="G51" s="343" t="s">
        <v>858</v>
      </c>
      <c r="H51" s="122" t="s">
        <v>859</v>
      </c>
      <c r="I51" s="122">
        <v>181.89</v>
      </c>
      <c r="J51" s="262"/>
      <c r="K51" s="262"/>
    </row>
    <row r="52" spans="1:10" ht="14.25" customHeight="1">
      <c r="A52" s="344"/>
      <c r="B52" s="355"/>
      <c r="C52" s="342"/>
      <c r="D52" s="355"/>
      <c r="E52" s="355"/>
      <c r="F52" s="355"/>
      <c r="G52" s="342"/>
      <c r="H52" s="355"/>
      <c r="I52" s="355"/>
      <c r="J52" s="1"/>
    </row>
    <row r="53" spans="1:10" ht="14.25" customHeight="1">
      <c r="A53" s="344"/>
      <c r="B53" s="355"/>
      <c r="C53" s="342"/>
      <c r="D53" s="355"/>
      <c r="E53" s="117"/>
      <c r="F53" s="356"/>
      <c r="G53" s="342" t="s">
        <v>119</v>
      </c>
      <c r="H53" s="118"/>
      <c r="I53" s="118"/>
      <c r="J53" s="1"/>
    </row>
    <row r="54" spans="1:10" ht="14.25" customHeight="1">
      <c r="A54" s="344"/>
      <c r="B54" s="355"/>
      <c r="C54" s="342"/>
      <c r="D54" s="355"/>
      <c r="E54" s="114"/>
      <c r="F54" s="117"/>
      <c r="G54" s="359" t="s">
        <v>121</v>
      </c>
      <c r="H54" s="118"/>
      <c r="I54" s="118"/>
      <c r="J54" s="1"/>
    </row>
    <row r="55" ht="14.25" customHeight="1">
      <c r="A55" s="344"/>
    </row>
    <row r="56" ht="14.25" customHeight="1">
      <c r="A56" s="329" t="s">
        <v>117</v>
      </c>
    </row>
    <row r="57" ht="14.25" customHeight="1">
      <c r="A57" s="329" t="s">
        <v>118</v>
      </c>
    </row>
    <row r="58" ht="14.25" customHeight="1">
      <c r="A58" s="329" t="s">
        <v>120</v>
      </c>
    </row>
    <row r="59" ht="14.25" customHeight="1">
      <c r="A59" s="329" t="s">
        <v>122</v>
      </c>
    </row>
    <row r="60" ht="14.25" customHeight="1">
      <c r="A60" s="329" t="s">
        <v>123</v>
      </c>
    </row>
  </sheetData>
  <sheetProtection/>
  <printOptions/>
  <pageMargins left="0.7" right="0.7" top="0.58" bottom="0.2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0.140625" style="366" customWidth="1"/>
    <col min="2" max="2" width="7.140625" style="31" customWidth="1"/>
    <col min="3" max="3" width="10.28125" style="360" customWidth="1"/>
    <col min="4" max="4" width="7.7109375" style="31" customWidth="1"/>
    <col min="5" max="5" width="9.421875" style="244" customWidth="1"/>
    <col min="6" max="6" width="7.7109375" style="31" customWidth="1"/>
    <col min="7" max="7" width="11.421875" style="360" bestFit="1" customWidth="1"/>
    <col min="8" max="8" width="14.140625" style="48" bestFit="1" customWidth="1"/>
    <col min="9" max="9" width="8.8515625" style="48" customWidth="1"/>
    <col min="10" max="16384" width="8.8515625" style="366" customWidth="1"/>
  </cols>
  <sheetData>
    <row r="1" spans="1:11" ht="14.25" customHeight="1">
      <c r="A1" s="329" t="s">
        <v>753</v>
      </c>
      <c r="B1" s="330"/>
      <c r="C1" s="331"/>
      <c r="D1" s="330"/>
      <c r="E1" s="332"/>
      <c r="F1" s="330"/>
      <c r="G1" s="331"/>
      <c r="H1" s="333"/>
      <c r="I1" s="333"/>
      <c r="J1" s="262"/>
      <c r="K1" s="262"/>
    </row>
    <row r="2" spans="1:11" ht="14.25" customHeight="1">
      <c r="A2" s="329" t="s">
        <v>754</v>
      </c>
      <c r="B2" s="330"/>
      <c r="C2" s="331"/>
      <c r="D2" s="330"/>
      <c r="E2" s="332"/>
      <c r="F2" s="330"/>
      <c r="G2" s="331"/>
      <c r="H2" s="333"/>
      <c r="I2" s="333"/>
      <c r="J2" s="262"/>
      <c r="K2" s="262"/>
    </row>
    <row r="3" spans="1:11" ht="14.25" customHeight="1">
      <c r="A3" s="329" t="s">
        <v>110</v>
      </c>
      <c r="B3" s="330"/>
      <c r="C3" s="331"/>
      <c r="D3" s="330"/>
      <c r="E3" s="332"/>
      <c r="F3" s="330"/>
      <c r="G3" s="331"/>
      <c r="H3" s="333"/>
      <c r="I3" s="333"/>
      <c r="J3" s="262"/>
      <c r="K3" s="262"/>
    </row>
    <row r="4" spans="1:11" ht="14.25" customHeight="1">
      <c r="A4" s="329" t="s">
        <v>5</v>
      </c>
      <c r="B4" s="330"/>
      <c r="C4" s="331"/>
      <c r="D4" s="330"/>
      <c r="E4" s="332"/>
      <c r="F4" s="330"/>
      <c r="G4" s="331"/>
      <c r="H4" s="333"/>
      <c r="I4" s="333"/>
      <c r="J4" s="262"/>
      <c r="K4" s="262"/>
    </row>
    <row r="5" spans="1:11" ht="14.25" customHeight="1">
      <c r="A5" s="329" t="s">
        <v>6</v>
      </c>
      <c r="B5" s="330"/>
      <c r="C5" s="331"/>
      <c r="D5" s="330"/>
      <c r="E5" s="334"/>
      <c r="F5" s="330"/>
      <c r="G5" s="331"/>
      <c r="H5" s="333"/>
      <c r="I5" s="333"/>
      <c r="J5" s="262"/>
      <c r="K5" s="262"/>
    </row>
    <row r="6" spans="1:11" ht="14.25" customHeight="1">
      <c r="A6" s="329" t="s">
        <v>111</v>
      </c>
      <c r="B6" s="330"/>
      <c r="C6" s="331"/>
      <c r="D6" s="330"/>
      <c r="E6" s="332"/>
      <c r="F6" s="330"/>
      <c r="G6" s="331"/>
      <c r="H6" s="333"/>
      <c r="I6" s="333"/>
      <c r="J6" s="262"/>
      <c r="K6" s="262"/>
    </row>
    <row r="7" spans="1:11" ht="14.25" customHeight="1">
      <c r="A7" s="329" t="s">
        <v>112</v>
      </c>
      <c r="B7" s="330"/>
      <c r="C7" s="331"/>
      <c r="D7" s="330"/>
      <c r="E7" s="335" t="s">
        <v>113</v>
      </c>
      <c r="F7" s="330"/>
      <c r="G7" s="331"/>
      <c r="H7" s="333"/>
      <c r="I7" s="333"/>
      <c r="J7" s="262"/>
      <c r="K7" s="262"/>
    </row>
    <row r="8" spans="1:11" ht="14.25" customHeight="1">
      <c r="A8" s="336" t="s">
        <v>755</v>
      </c>
      <c r="B8" s="337"/>
      <c r="C8" s="338"/>
      <c r="D8" s="337"/>
      <c r="E8" s="339"/>
      <c r="F8" s="337"/>
      <c r="G8" s="338"/>
      <c r="H8" s="340"/>
      <c r="I8" s="340"/>
      <c r="J8" s="262"/>
      <c r="K8" s="262"/>
    </row>
    <row r="9" spans="1:11" ht="14.25" customHeight="1">
      <c r="A9" s="114"/>
      <c r="B9" s="341" t="s">
        <v>45</v>
      </c>
      <c r="C9" s="342"/>
      <c r="D9" s="341" t="s">
        <v>46</v>
      </c>
      <c r="E9" s="342"/>
      <c r="F9" s="341"/>
      <c r="G9" s="343" t="s">
        <v>47</v>
      </c>
      <c r="H9" s="118"/>
      <c r="I9" s="118"/>
      <c r="J9" s="262"/>
      <c r="K9" s="262"/>
    </row>
    <row r="10" spans="1:11" ht="14.25" customHeight="1">
      <c r="A10" s="344" t="s">
        <v>461</v>
      </c>
      <c r="B10" s="345" t="s">
        <v>49</v>
      </c>
      <c r="C10" s="346" t="s">
        <v>50</v>
      </c>
      <c r="D10" s="345" t="s">
        <v>49</v>
      </c>
      <c r="E10" s="346" t="s">
        <v>50</v>
      </c>
      <c r="F10" s="345" t="s">
        <v>49</v>
      </c>
      <c r="G10" s="346" t="s">
        <v>50</v>
      </c>
      <c r="H10" s="347" t="s">
        <v>51</v>
      </c>
      <c r="I10" s="347" t="s">
        <v>52</v>
      </c>
      <c r="J10" s="262"/>
      <c r="K10" s="262"/>
    </row>
    <row r="11" spans="1:11" ht="14.25" customHeight="1">
      <c r="A11" s="119" t="s">
        <v>466</v>
      </c>
      <c r="B11" s="348"/>
      <c r="C11" s="343">
        <v>0</v>
      </c>
      <c r="D11" s="115"/>
      <c r="E11" s="121"/>
      <c r="F11" s="115"/>
      <c r="G11" s="343"/>
      <c r="H11" s="122"/>
      <c r="I11" s="350"/>
      <c r="J11" s="262"/>
      <c r="K11" s="262"/>
    </row>
    <row r="12" spans="1:11" ht="14.25" customHeight="1">
      <c r="A12" s="114" t="s">
        <v>14</v>
      </c>
      <c r="B12" s="122">
        <f aca="true" t="shared" si="0" ref="B12:H12">SUM(B11)</f>
        <v>0</v>
      </c>
      <c r="C12" s="343">
        <f t="shared" si="0"/>
        <v>0</v>
      </c>
      <c r="D12" s="341">
        <f t="shared" si="0"/>
        <v>0</v>
      </c>
      <c r="E12" s="343">
        <f t="shared" si="0"/>
        <v>0</v>
      </c>
      <c r="F12" s="341">
        <f t="shared" si="0"/>
        <v>0</v>
      </c>
      <c r="G12" s="343">
        <f t="shared" si="0"/>
        <v>0</v>
      </c>
      <c r="H12" s="122">
        <f t="shared" si="0"/>
        <v>0</v>
      </c>
      <c r="I12" s="122" t="e">
        <f>H12/G12</f>
        <v>#DIV/0!</v>
      </c>
      <c r="J12" s="262"/>
      <c r="K12" s="262"/>
    </row>
    <row r="13" spans="1:11" ht="14.25" customHeight="1">
      <c r="A13" s="344" t="s">
        <v>462</v>
      </c>
      <c r="B13" s="345" t="s">
        <v>49</v>
      </c>
      <c r="C13" s="346" t="s">
        <v>50</v>
      </c>
      <c r="D13" s="345" t="s">
        <v>49</v>
      </c>
      <c r="E13" s="346" t="s">
        <v>50</v>
      </c>
      <c r="F13" s="345" t="s">
        <v>49</v>
      </c>
      <c r="G13" s="346" t="s">
        <v>50</v>
      </c>
      <c r="H13" s="347" t="s">
        <v>51</v>
      </c>
      <c r="I13" s="347" t="s">
        <v>52</v>
      </c>
      <c r="J13" s="262"/>
      <c r="K13" s="262"/>
    </row>
    <row r="14" spans="1:11" ht="14.25" customHeight="1">
      <c r="A14" s="351" t="s">
        <v>53</v>
      </c>
      <c r="B14" s="341">
        <v>460</v>
      </c>
      <c r="C14" s="343">
        <v>22973</v>
      </c>
      <c r="D14" s="341">
        <v>10</v>
      </c>
      <c r="E14" s="343">
        <v>499.2</v>
      </c>
      <c r="F14" s="341">
        <v>470</v>
      </c>
      <c r="G14" s="343">
        <v>23472.2</v>
      </c>
      <c r="H14" s="122" t="s">
        <v>756</v>
      </c>
      <c r="I14" s="122">
        <v>212.49</v>
      </c>
      <c r="J14" s="262"/>
      <c r="K14" s="262"/>
    </row>
    <row r="15" spans="1:11" ht="14.25" customHeight="1">
      <c r="A15" s="351" t="s">
        <v>640</v>
      </c>
      <c r="B15" s="341"/>
      <c r="C15" s="343">
        <v>0</v>
      </c>
      <c r="D15" s="341">
        <v>10</v>
      </c>
      <c r="E15" s="343">
        <v>499.2</v>
      </c>
      <c r="F15" s="341">
        <v>10</v>
      </c>
      <c r="G15" s="343">
        <v>499.2</v>
      </c>
      <c r="H15" s="122">
        <v>87859.2</v>
      </c>
      <c r="I15" s="122">
        <v>176</v>
      </c>
      <c r="J15" s="262"/>
      <c r="K15" s="262"/>
    </row>
    <row r="16" spans="1:11" ht="14.25" customHeight="1">
      <c r="A16" s="351" t="s">
        <v>57</v>
      </c>
      <c r="B16" s="341">
        <v>30</v>
      </c>
      <c r="C16" s="343">
        <v>1495.5</v>
      </c>
      <c r="D16" s="341">
        <v>0</v>
      </c>
      <c r="E16" s="343">
        <v>0</v>
      </c>
      <c r="F16" s="341">
        <v>30</v>
      </c>
      <c r="G16" s="343">
        <v>1495.5</v>
      </c>
      <c r="H16" s="122" t="s">
        <v>82</v>
      </c>
      <c r="I16" s="122">
        <v>187</v>
      </c>
      <c r="J16" s="262"/>
      <c r="K16" s="262"/>
    </row>
    <row r="17" spans="1:11" ht="14.25" customHeight="1">
      <c r="A17" s="351" t="s">
        <v>475</v>
      </c>
      <c r="B17" s="341">
        <v>110</v>
      </c>
      <c r="C17" s="343">
        <v>5492.5</v>
      </c>
      <c r="D17" s="341">
        <v>0</v>
      </c>
      <c r="E17" s="343">
        <v>0</v>
      </c>
      <c r="F17" s="341">
        <v>110</v>
      </c>
      <c r="G17" s="343">
        <v>5492.5</v>
      </c>
      <c r="H17" s="122" t="s">
        <v>757</v>
      </c>
      <c r="I17" s="122">
        <v>182.81</v>
      </c>
      <c r="J17" s="262"/>
      <c r="K17" s="262"/>
    </row>
    <row r="18" spans="1:11" ht="14.25" customHeight="1">
      <c r="A18" s="351" t="s">
        <v>61</v>
      </c>
      <c r="B18" s="341">
        <v>60</v>
      </c>
      <c r="C18" s="343">
        <v>2995.5</v>
      </c>
      <c r="D18" s="341">
        <v>0</v>
      </c>
      <c r="E18" s="343">
        <v>0</v>
      </c>
      <c r="F18" s="341">
        <v>60</v>
      </c>
      <c r="G18" s="343">
        <v>2995.5</v>
      </c>
      <c r="H18" s="122" t="s">
        <v>758</v>
      </c>
      <c r="I18" s="122">
        <v>258.13</v>
      </c>
      <c r="J18" s="262"/>
      <c r="K18" s="262"/>
    </row>
    <row r="19" spans="1:11" ht="14.25" customHeight="1">
      <c r="A19" s="351" t="s">
        <v>63</v>
      </c>
      <c r="B19" s="341">
        <v>20</v>
      </c>
      <c r="C19" s="343">
        <v>998.5</v>
      </c>
      <c r="D19" s="341">
        <v>0</v>
      </c>
      <c r="E19" s="343">
        <v>0</v>
      </c>
      <c r="F19" s="341">
        <v>20</v>
      </c>
      <c r="G19" s="343">
        <v>998.5</v>
      </c>
      <c r="H19" s="122" t="s">
        <v>759</v>
      </c>
      <c r="I19" s="122">
        <v>208.88</v>
      </c>
      <c r="J19" s="262"/>
      <c r="K19" s="262"/>
    </row>
    <row r="20" spans="1:11" ht="14.25" customHeight="1">
      <c r="A20" s="351" t="s">
        <v>329</v>
      </c>
      <c r="B20" s="341">
        <v>10</v>
      </c>
      <c r="C20" s="343">
        <v>498.5</v>
      </c>
      <c r="D20" s="341">
        <v>0</v>
      </c>
      <c r="E20" s="343">
        <v>0</v>
      </c>
      <c r="F20" s="341">
        <v>10</v>
      </c>
      <c r="G20" s="343">
        <v>498.5</v>
      </c>
      <c r="H20" s="122" t="s">
        <v>760</v>
      </c>
      <c r="I20" s="122">
        <v>305</v>
      </c>
      <c r="J20" s="262"/>
      <c r="K20" s="262"/>
    </row>
    <row r="21" spans="1:11" ht="14.25" customHeight="1">
      <c r="A21" s="351" t="s">
        <v>136</v>
      </c>
      <c r="B21" s="341">
        <v>30</v>
      </c>
      <c r="C21" s="343">
        <v>1498.5</v>
      </c>
      <c r="D21" s="341">
        <v>0</v>
      </c>
      <c r="E21" s="343">
        <v>0</v>
      </c>
      <c r="F21" s="341">
        <v>30</v>
      </c>
      <c r="G21" s="343">
        <v>1498.5</v>
      </c>
      <c r="H21" s="122" t="s">
        <v>761</v>
      </c>
      <c r="I21" s="122">
        <v>212</v>
      </c>
      <c r="J21" s="262"/>
      <c r="K21" s="262"/>
    </row>
    <row r="22" spans="1:11" ht="14.25" customHeight="1">
      <c r="A22" s="351" t="s">
        <v>762</v>
      </c>
      <c r="B22" s="341">
        <v>20</v>
      </c>
      <c r="C22" s="343">
        <v>997</v>
      </c>
      <c r="D22" s="341">
        <v>0</v>
      </c>
      <c r="E22" s="343">
        <v>0</v>
      </c>
      <c r="F22" s="341">
        <v>20</v>
      </c>
      <c r="G22" s="343">
        <v>997</v>
      </c>
      <c r="H22" s="122" t="s">
        <v>763</v>
      </c>
      <c r="I22" s="122">
        <v>150</v>
      </c>
      <c r="J22" s="262"/>
      <c r="K22" s="262"/>
    </row>
    <row r="23" spans="1:11" ht="14.25" customHeight="1">
      <c r="A23" s="351" t="s">
        <v>71</v>
      </c>
      <c r="B23" s="341">
        <v>70</v>
      </c>
      <c r="C23" s="343">
        <v>3492.5</v>
      </c>
      <c r="D23" s="341">
        <v>110</v>
      </c>
      <c r="E23" s="343">
        <v>5491.2</v>
      </c>
      <c r="F23" s="341">
        <v>180</v>
      </c>
      <c r="G23" s="343">
        <v>8983.7</v>
      </c>
      <c r="H23" s="122" t="s">
        <v>764</v>
      </c>
      <c r="I23" s="122">
        <v>178.44</v>
      </c>
      <c r="J23" s="262"/>
      <c r="K23" s="262"/>
    </row>
    <row r="24" spans="1:11" ht="14.25" customHeight="1">
      <c r="A24" s="351" t="s">
        <v>648</v>
      </c>
      <c r="B24" s="341">
        <v>10</v>
      </c>
      <c r="C24" s="343">
        <v>498.5</v>
      </c>
      <c r="D24" s="341">
        <v>0</v>
      </c>
      <c r="E24" s="343">
        <v>0</v>
      </c>
      <c r="F24" s="341">
        <v>10</v>
      </c>
      <c r="G24" s="343">
        <v>498.5</v>
      </c>
      <c r="H24" s="122" t="s">
        <v>765</v>
      </c>
      <c r="I24" s="122">
        <v>219</v>
      </c>
      <c r="J24" s="262"/>
      <c r="K24" s="262"/>
    </row>
    <row r="25" spans="1:11" ht="14.25" customHeight="1">
      <c r="A25" s="351" t="s">
        <v>141</v>
      </c>
      <c r="B25" s="341"/>
      <c r="C25" s="343">
        <v>0</v>
      </c>
      <c r="D25" s="341">
        <v>10</v>
      </c>
      <c r="E25" s="343">
        <v>499.5</v>
      </c>
      <c r="F25" s="341">
        <v>10</v>
      </c>
      <c r="G25" s="343">
        <v>499.5</v>
      </c>
      <c r="H25" s="122">
        <v>73926</v>
      </c>
      <c r="I25" s="122">
        <v>148</v>
      </c>
      <c r="J25" s="262"/>
      <c r="K25" s="262"/>
    </row>
    <row r="26" spans="1:11" ht="14.25" customHeight="1">
      <c r="A26" s="351" t="s">
        <v>146</v>
      </c>
      <c r="B26" s="341">
        <v>34</v>
      </c>
      <c r="C26" s="343">
        <v>1698.5</v>
      </c>
      <c r="D26" s="341">
        <v>0</v>
      </c>
      <c r="E26" s="343">
        <v>0</v>
      </c>
      <c r="F26" s="341">
        <v>34</v>
      </c>
      <c r="G26" s="343">
        <v>1698.5</v>
      </c>
      <c r="H26" s="122" t="s">
        <v>766</v>
      </c>
      <c r="I26" s="122">
        <v>190.81</v>
      </c>
      <c r="J26" s="262"/>
      <c r="K26" s="262"/>
    </row>
    <row r="27" spans="1:11" ht="14.25" customHeight="1">
      <c r="A27" s="351" t="s">
        <v>83</v>
      </c>
      <c r="B27" s="341">
        <v>50</v>
      </c>
      <c r="C27" s="343">
        <v>2492.5</v>
      </c>
      <c r="D27" s="341">
        <v>10</v>
      </c>
      <c r="E27" s="343">
        <v>499.2</v>
      </c>
      <c r="F27" s="341">
        <v>60</v>
      </c>
      <c r="G27" s="343">
        <v>2991.7</v>
      </c>
      <c r="H27" s="122" t="s">
        <v>767</v>
      </c>
      <c r="I27" s="122">
        <v>173.5</v>
      </c>
      <c r="J27" s="262"/>
      <c r="K27" s="262"/>
    </row>
    <row r="28" spans="1:11" ht="14.25" customHeight="1">
      <c r="A28" s="351" t="s">
        <v>85</v>
      </c>
      <c r="B28" s="341">
        <v>20</v>
      </c>
      <c r="C28" s="343">
        <v>997</v>
      </c>
      <c r="D28" s="341">
        <v>0</v>
      </c>
      <c r="E28" s="343">
        <v>0</v>
      </c>
      <c r="F28" s="341">
        <v>20</v>
      </c>
      <c r="G28" s="343">
        <v>997</v>
      </c>
      <c r="H28" s="122" t="s">
        <v>768</v>
      </c>
      <c r="I28" s="122">
        <v>131</v>
      </c>
      <c r="J28" s="262"/>
      <c r="K28" s="262"/>
    </row>
    <row r="29" spans="1:11" ht="14.25" customHeight="1">
      <c r="A29" s="351" t="s">
        <v>150</v>
      </c>
      <c r="B29" s="341">
        <v>20</v>
      </c>
      <c r="C29" s="343">
        <v>998.5</v>
      </c>
      <c r="D29" s="341">
        <v>0</v>
      </c>
      <c r="E29" s="343">
        <v>0</v>
      </c>
      <c r="F29" s="341">
        <v>20</v>
      </c>
      <c r="G29" s="343">
        <v>998.5</v>
      </c>
      <c r="H29" s="122" t="s">
        <v>769</v>
      </c>
      <c r="I29" s="122">
        <v>295.02</v>
      </c>
      <c r="J29" s="262"/>
      <c r="K29" s="262"/>
    </row>
    <row r="30" spans="1:11" ht="14.25" customHeight="1">
      <c r="A30" s="351" t="s">
        <v>226</v>
      </c>
      <c r="B30" s="341"/>
      <c r="C30" s="343">
        <v>0</v>
      </c>
      <c r="D30" s="341">
        <v>30</v>
      </c>
      <c r="E30" s="343">
        <v>1497.6</v>
      </c>
      <c r="F30" s="341">
        <v>30</v>
      </c>
      <c r="G30" s="343">
        <v>1497.6</v>
      </c>
      <c r="H30" s="122" t="s">
        <v>770</v>
      </c>
      <c r="I30" s="122">
        <v>169.67</v>
      </c>
      <c r="J30" s="262"/>
      <c r="K30" s="262"/>
    </row>
    <row r="31" spans="1:11" ht="14.25" customHeight="1">
      <c r="A31" s="351" t="s">
        <v>98</v>
      </c>
      <c r="B31" s="341">
        <v>20</v>
      </c>
      <c r="C31" s="343">
        <v>997</v>
      </c>
      <c r="D31" s="341">
        <v>0</v>
      </c>
      <c r="E31" s="343">
        <v>0</v>
      </c>
      <c r="F31" s="341">
        <v>20</v>
      </c>
      <c r="G31" s="343">
        <v>997</v>
      </c>
      <c r="H31" s="122">
        <v>223826.5</v>
      </c>
      <c r="I31" s="122">
        <v>224.5</v>
      </c>
      <c r="J31" s="262"/>
      <c r="K31" s="262"/>
    </row>
    <row r="32" spans="1:11" ht="14.25" customHeight="1">
      <c r="A32" s="351" t="s">
        <v>99</v>
      </c>
      <c r="B32" s="341"/>
      <c r="C32" s="343">
        <v>0</v>
      </c>
      <c r="D32" s="341">
        <v>50</v>
      </c>
      <c r="E32" s="343">
        <v>2496</v>
      </c>
      <c r="F32" s="341">
        <v>50</v>
      </c>
      <c r="G32" s="343">
        <v>2496</v>
      </c>
      <c r="H32" s="122" t="s">
        <v>771</v>
      </c>
      <c r="I32" s="122">
        <v>191</v>
      </c>
      <c r="J32" s="262"/>
      <c r="K32" s="262"/>
    </row>
    <row r="33" spans="1:11" ht="14.25" customHeight="1">
      <c r="A33" s="351" t="s">
        <v>578</v>
      </c>
      <c r="B33" s="341"/>
      <c r="C33" s="343">
        <v>0</v>
      </c>
      <c r="D33" s="341">
        <v>20</v>
      </c>
      <c r="E33" s="343">
        <v>998.4</v>
      </c>
      <c r="F33" s="341">
        <v>20</v>
      </c>
      <c r="G33" s="343">
        <v>998.4</v>
      </c>
      <c r="H33" s="122" t="s">
        <v>772</v>
      </c>
      <c r="I33" s="122">
        <v>171.5</v>
      </c>
      <c r="J33" s="262"/>
      <c r="K33" s="262"/>
    </row>
    <row r="34" spans="1:11" ht="14.25" customHeight="1">
      <c r="A34" s="351" t="s">
        <v>271</v>
      </c>
      <c r="B34" s="341">
        <v>20</v>
      </c>
      <c r="C34" s="343">
        <v>997</v>
      </c>
      <c r="D34" s="341">
        <v>0</v>
      </c>
      <c r="E34" s="343">
        <v>0</v>
      </c>
      <c r="F34" s="341">
        <v>20</v>
      </c>
      <c r="G34" s="343">
        <v>997</v>
      </c>
      <c r="H34" s="122" t="s">
        <v>773</v>
      </c>
      <c r="I34" s="122">
        <v>175.5</v>
      </c>
      <c r="J34" s="262"/>
      <c r="K34" s="262"/>
    </row>
    <row r="35" spans="1:11" ht="14.25" customHeight="1">
      <c r="A35" s="351" t="s">
        <v>194</v>
      </c>
      <c r="B35" s="341">
        <v>10</v>
      </c>
      <c r="C35" s="343">
        <v>498.5</v>
      </c>
      <c r="D35" s="341">
        <v>0</v>
      </c>
      <c r="E35" s="343">
        <v>0</v>
      </c>
      <c r="F35" s="341">
        <v>10</v>
      </c>
      <c r="G35" s="343">
        <v>498.5</v>
      </c>
      <c r="H35" s="122" t="s">
        <v>487</v>
      </c>
      <c r="I35" s="122">
        <v>274</v>
      </c>
      <c r="J35" s="262"/>
      <c r="K35" s="262"/>
    </row>
    <row r="36" spans="1:11" ht="14.25" customHeight="1">
      <c r="A36" s="351" t="s">
        <v>14</v>
      </c>
      <c r="B36" s="341">
        <v>994</v>
      </c>
      <c r="C36" s="343">
        <v>49619</v>
      </c>
      <c r="D36" s="341">
        <v>250</v>
      </c>
      <c r="E36" s="343">
        <v>12480.3</v>
      </c>
      <c r="F36" s="341">
        <v>1244</v>
      </c>
      <c r="G36" s="343">
        <v>62099.3</v>
      </c>
      <c r="H36" s="122" t="s">
        <v>774</v>
      </c>
      <c r="I36" s="122">
        <v>200.52</v>
      </c>
      <c r="J36" s="262"/>
      <c r="K36" s="262"/>
    </row>
    <row r="37" spans="1:10" ht="14.25" customHeight="1">
      <c r="A37" s="344"/>
      <c r="B37" s="355"/>
      <c r="C37" s="342"/>
      <c r="D37" s="355"/>
      <c r="E37" s="355"/>
      <c r="F37" s="355"/>
      <c r="G37" s="342"/>
      <c r="H37" s="355"/>
      <c r="I37" s="355"/>
      <c r="J37" s="1"/>
    </row>
    <row r="38" spans="1:10" ht="14.25" customHeight="1">
      <c r="A38" s="344"/>
      <c r="B38" s="355"/>
      <c r="C38" s="342"/>
      <c r="D38" s="355"/>
      <c r="E38" s="117"/>
      <c r="F38" s="356"/>
      <c r="G38" s="342" t="s">
        <v>119</v>
      </c>
      <c r="H38" s="118"/>
      <c r="I38" s="118"/>
      <c r="J38" s="1"/>
    </row>
    <row r="39" spans="1:10" ht="14.25" customHeight="1">
      <c r="A39" s="344"/>
      <c r="B39" s="355"/>
      <c r="C39" s="342"/>
      <c r="D39" s="355"/>
      <c r="E39" s="114"/>
      <c r="F39" s="117"/>
      <c r="G39" s="359" t="s">
        <v>121</v>
      </c>
      <c r="H39" s="118"/>
      <c r="I39" s="118"/>
      <c r="J39" s="1"/>
    </row>
    <row r="40" ht="14.25" customHeight="1">
      <c r="A40" s="344"/>
    </row>
    <row r="41" ht="14.25" customHeight="1">
      <c r="A41" s="329" t="s">
        <v>117</v>
      </c>
    </row>
    <row r="42" ht="14.25" customHeight="1">
      <c r="A42" s="329" t="s">
        <v>118</v>
      </c>
    </row>
    <row r="43" ht="14.25" customHeight="1">
      <c r="A43" s="329" t="s">
        <v>120</v>
      </c>
    </row>
    <row r="44" ht="14.25" customHeight="1">
      <c r="A44" s="329" t="s">
        <v>122</v>
      </c>
    </row>
    <row r="45" ht="14.25" customHeight="1">
      <c r="A45" s="329" t="s">
        <v>123</v>
      </c>
    </row>
  </sheetData>
  <sheetProtection/>
  <printOptions/>
  <pageMargins left="0.7" right="0.7" top="0.58" bottom="0.2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40">
      <selection activeCell="B64" sqref="B64"/>
    </sheetView>
  </sheetViews>
  <sheetFormatPr defaultColWidth="9.140625" defaultRowHeight="14.25" customHeight="1"/>
  <cols>
    <col min="1" max="1" width="30.140625" style="366" customWidth="1"/>
    <col min="2" max="2" width="7.140625" style="31" customWidth="1"/>
    <col min="3" max="3" width="10.28125" style="360" customWidth="1"/>
    <col min="4" max="4" width="7.7109375" style="31" customWidth="1"/>
    <col min="5" max="5" width="9.421875" style="244" customWidth="1"/>
    <col min="6" max="6" width="7.7109375" style="31" customWidth="1"/>
    <col min="7" max="7" width="11.421875" style="360" bestFit="1" customWidth="1"/>
    <col min="8" max="8" width="14.140625" style="48" bestFit="1" customWidth="1"/>
    <col min="9" max="9" width="8.8515625" style="48" customWidth="1"/>
    <col min="10" max="16384" width="8.8515625" style="366" customWidth="1"/>
  </cols>
  <sheetData>
    <row r="1" spans="1:11" ht="14.25" customHeight="1">
      <c r="A1" s="329" t="s">
        <v>716</v>
      </c>
      <c r="B1" s="330"/>
      <c r="C1" s="331"/>
      <c r="D1" s="330"/>
      <c r="E1" s="332"/>
      <c r="F1" s="330"/>
      <c r="G1" s="331"/>
      <c r="H1" s="333"/>
      <c r="I1" s="333"/>
      <c r="J1" s="262"/>
      <c r="K1" s="262"/>
    </row>
    <row r="2" spans="1:11" ht="14.25" customHeight="1">
      <c r="A2" s="329" t="s">
        <v>752</v>
      </c>
      <c r="B2" s="330"/>
      <c r="C2" s="331"/>
      <c r="D2" s="330"/>
      <c r="E2" s="332"/>
      <c r="F2" s="330"/>
      <c r="G2" s="331"/>
      <c r="H2" s="333"/>
      <c r="I2" s="333"/>
      <c r="J2" s="262"/>
      <c r="K2" s="262"/>
    </row>
    <row r="3" spans="1:11" ht="14.25" customHeight="1">
      <c r="A3" s="329" t="s">
        <v>110</v>
      </c>
      <c r="B3" s="330"/>
      <c r="C3" s="331"/>
      <c r="D3" s="330"/>
      <c r="E3" s="332"/>
      <c r="F3" s="330"/>
      <c r="G3" s="331"/>
      <c r="H3" s="333"/>
      <c r="I3" s="333"/>
      <c r="J3" s="262"/>
      <c r="K3" s="262"/>
    </row>
    <row r="4" spans="1:11" ht="14.25" customHeight="1">
      <c r="A4" s="329" t="s">
        <v>5</v>
      </c>
      <c r="B4" s="330"/>
      <c r="C4" s="331"/>
      <c r="D4" s="330"/>
      <c r="E4" s="332"/>
      <c r="F4" s="330"/>
      <c r="G4" s="331"/>
      <c r="H4" s="333"/>
      <c r="I4" s="333"/>
      <c r="J4" s="262"/>
      <c r="K4" s="262"/>
    </row>
    <row r="5" spans="1:11" ht="14.25" customHeight="1">
      <c r="A5" s="329" t="s">
        <v>6</v>
      </c>
      <c r="B5" s="330"/>
      <c r="C5" s="331"/>
      <c r="D5" s="330"/>
      <c r="E5" s="334"/>
      <c r="F5" s="330"/>
      <c r="G5" s="331"/>
      <c r="H5" s="333"/>
      <c r="I5" s="333"/>
      <c r="J5" s="262"/>
      <c r="K5" s="262"/>
    </row>
    <row r="6" spans="1:11" ht="14.25" customHeight="1">
      <c r="A6" s="329" t="s">
        <v>111</v>
      </c>
      <c r="B6" s="330"/>
      <c r="C6" s="331"/>
      <c r="D6" s="330"/>
      <c r="E6" s="332"/>
      <c r="F6" s="330"/>
      <c r="G6" s="331"/>
      <c r="H6" s="333"/>
      <c r="I6" s="333"/>
      <c r="J6" s="262"/>
      <c r="K6" s="262"/>
    </row>
    <row r="7" spans="1:11" ht="14.25" customHeight="1">
      <c r="A7" s="329" t="s">
        <v>112</v>
      </c>
      <c r="B7" s="330"/>
      <c r="C7" s="331"/>
      <c r="D7" s="330"/>
      <c r="E7" s="335" t="s">
        <v>113</v>
      </c>
      <c r="F7" s="330"/>
      <c r="G7" s="331"/>
      <c r="H7" s="333"/>
      <c r="I7" s="333"/>
      <c r="J7" s="262"/>
      <c r="K7" s="262"/>
    </row>
    <row r="8" spans="1:11" ht="14.25" customHeight="1">
      <c r="A8" s="336" t="s">
        <v>717</v>
      </c>
      <c r="B8" s="337"/>
      <c r="C8" s="338"/>
      <c r="D8" s="337"/>
      <c r="E8" s="339"/>
      <c r="F8" s="337"/>
      <c r="G8" s="338"/>
      <c r="H8" s="340"/>
      <c r="I8" s="340"/>
      <c r="J8" s="262"/>
      <c r="K8" s="262"/>
    </row>
    <row r="9" spans="1:11" ht="14.25" customHeight="1">
      <c r="A9" s="114"/>
      <c r="B9" s="341" t="s">
        <v>45</v>
      </c>
      <c r="C9" s="342"/>
      <c r="D9" s="341" t="s">
        <v>46</v>
      </c>
      <c r="E9" s="342"/>
      <c r="F9" s="341"/>
      <c r="G9" s="343" t="s">
        <v>47</v>
      </c>
      <c r="H9" s="118"/>
      <c r="I9" s="118"/>
      <c r="J9" s="262"/>
      <c r="K9" s="262"/>
    </row>
    <row r="10" spans="1:11" ht="14.25" customHeight="1">
      <c r="A10" s="344" t="s">
        <v>461</v>
      </c>
      <c r="B10" s="345" t="s">
        <v>49</v>
      </c>
      <c r="C10" s="346" t="s">
        <v>50</v>
      </c>
      <c r="D10" s="345" t="s">
        <v>49</v>
      </c>
      <c r="E10" s="346" t="s">
        <v>50</v>
      </c>
      <c r="F10" s="345" t="s">
        <v>49</v>
      </c>
      <c r="G10" s="346" t="s">
        <v>50</v>
      </c>
      <c r="H10" s="347" t="s">
        <v>51</v>
      </c>
      <c r="I10" s="347" t="s">
        <v>52</v>
      </c>
      <c r="J10" s="262"/>
      <c r="K10" s="262"/>
    </row>
    <row r="11" spans="1:11" ht="14.25" customHeight="1">
      <c r="A11" s="119" t="s">
        <v>466</v>
      </c>
      <c r="B11" s="348"/>
      <c r="C11" s="343">
        <v>0</v>
      </c>
      <c r="D11" s="115"/>
      <c r="E11" s="121"/>
      <c r="F11" s="115"/>
      <c r="G11" s="343"/>
      <c r="H11" s="122"/>
      <c r="I11" s="350"/>
      <c r="J11" s="262"/>
      <c r="K11" s="262"/>
    </row>
    <row r="12" spans="1:11" ht="14.25" customHeight="1">
      <c r="A12" s="114" t="s">
        <v>14</v>
      </c>
      <c r="B12" s="122">
        <f aca="true" t="shared" si="0" ref="B12:H12">SUM(B11)</f>
        <v>0</v>
      </c>
      <c r="C12" s="343">
        <f t="shared" si="0"/>
        <v>0</v>
      </c>
      <c r="D12" s="341">
        <f t="shared" si="0"/>
        <v>0</v>
      </c>
      <c r="E12" s="343">
        <f t="shared" si="0"/>
        <v>0</v>
      </c>
      <c r="F12" s="341">
        <f t="shared" si="0"/>
        <v>0</v>
      </c>
      <c r="G12" s="343">
        <f t="shared" si="0"/>
        <v>0</v>
      </c>
      <c r="H12" s="122">
        <f t="shared" si="0"/>
        <v>0</v>
      </c>
      <c r="I12" s="122" t="e">
        <f>H12/G12</f>
        <v>#DIV/0!</v>
      </c>
      <c r="J12" s="262"/>
      <c r="K12" s="262"/>
    </row>
    <row r="13" spans="1:11" ht="14.25" customHeight="1">
      <c r="A13" s="344" t="s">
        <v>462</v>
      </c>
      <c r="B13" s="345" t="s">
        <v>49</v>
      </c>
      <c r="C13" s="346" t="s">
        <v>50</v>
      </c>
      <c r="D13" s="345" t="s">
        <v>49</v>
      </c>
      <c r="E13" s="346" t="s">
        <v>50</v>
      </c>
      <c r="F13" s="345" t="s">
        <v>49</v>
      </c>
      <c r="G13" s="346" t="s">
        <v>50</v>
      </c>
      <c r="H13" s="347" t="s">
        <v>51</v>
      </c>
      <c r="I13" s="347" t="s">
        <v>52</v>
      </c>
      <c r="J13" s="262"/>
      <c r="K13" s="262"/>
    </row>
    <row r="14" spans="1:11" ht="14.25" customHeight="1">
      <c r="A14" s="351" t="s">
        <v>319</v>
      </c>
      <c r="B14" s="341">
        <v>50</v>
      </c>
      <c r="C14" s="343">
        <v>2497.5</v>
      </c>
      <c r="D14" s="341">
        <v>0</v>
      </c>
      <c r="E14" s="343">
        <v>0</v>
      </c>
      <c r="F14" s="341">
        <v>50</v>
      </c>
      <c r="G14" s="343">
        <v>2497.5</v>
      </c>
      <c r="H14" s="122" t="s">
        <v>718</v>
      </c>
      <c r="I14" s="122">
        <v>120</v>
      </c>
      <c r="J14" s="262"/>
      <c r="K14" s="262"/>
    </row>
    <row r="15" spans="1:11" ht="14.25" customHeight="1">
      <c r="A15" s="351" t="s">
        <v>53</v>
      </c>
      <c r="B15" s="341">
        <v>627</v>
      </c>
      <c r="C15" s="343">
        <v>31285.5</v>
      </c>
      <c r="D15" s="341">
        <v>71</v>
      </c>
      <c r="E15" s="343">
        <v>3544.2</v>
      </c>
      <c r="F15" s="341">
        <v>698</v>
      </c>
      <c r="G15" s="343">
        <v>34829.7</v>
      </c>
      <c r="H15" s="122" t="s">
        <v>719</v>
      </c>
      <c r="I15" s="122">
        <v>223.19</v>
      </c>
      <c r="J15" s="262"/>
      <c r="K15" s="262"/>
    </row>
    <row r="16" spans="1:11" ht="14.25" customHeight="1">
      <c r="A16" s="351" t="s">
        <v>322</v>
      </c>
      <c r="B16" s="341">
        <v>41</v>
      </c>
      <c r="C16" s="343">
        <v>2047</v>
      </c>
      <c r="D16" s="341">
        <v>49</v>
      </c>
      <c r="E16" s="343">
        <v>2445.5</v>
      </c>
      <c r="F16" s="341">
        <v>90</v>
      </c>
      <c r="G16" s="343">
        <v>4492.5</v>
      </c>
      <c r="H16" s="122" t="s">
        <v>720</v>
      </c>
      <c r="I16" s="122">
        <v>208.67</v>
      </c>
      <c r="J16" s="262"/>
      <c r="K16" s="262"/>
    </row>
    <row r="17" spans="1:11" ht="14.25" customHeight="1">
      <c r="A17" s="351" t="s">
        <v>171</v>
      </c>
      <c r="B17" s="341">
        <v>30</v>
      </c>
      <c r="C17" s="343">
        <v>1498.5</v>
      </c>
      <c r="D17" s="341">
        <v>0</v>
      </c>
      <c r="E17" s="343">
        <v>0</v>
      </c>
      <c r="F17" s="341">
        <v>30</v>
      </c>
      <c r="G17" s="343">
        <v>1498.5</v>
      </c>
      <c r="H17" s="122" t="s">
        <v>721</v>
      </c>
      <c r="I17" s="122">
        <v>290.66</v>
      </c>
      <c r="J17" s="262"/>
      <c r="K17" s="262"/>
    </row>
    <row r="18" spans="1:11" ht="14.25" customHeight="1">
      <c r="A18" s="351" t="s">
        <v>173</v>
      </c>
      <c r="B18" s="341"/>
      <c r="C18" s="343">
        <v>0</v>
      </c>
      <c r="D18" s="341">
        <v>10</v>
      </c>
      <c r="E18" s="343">
        <v>498.4</v>
      </c>
      <c r="F18" s="341">
        <v>10</v>
      </c>
      <c r="G18" s="343">
        <v>498.4</v>
      </c>
      <c r="H18" s="122">
        <v>94696</v>
      </c>
      <c r="I18" s="122">
        <v>190</v>
      </c>
      <c r="J18" s="262"/>
      <c r="K18" s="262"/>
    </row>
    <row r="19" spans="1:11" ht="14.25" customHeight="1">
      <c r="A19" s="351" t="s">
        <v>722</v>
      </c>
      <c r="B19" s="341"/>
      <c r="C19" s="343">
        <v>0</v>
      </c>
      <c r="D19" s="341">
        <v>15</v>
      </c>
      <c r="E19" s="343">
        <v>747.9</v>
      </c>
      <c r="F19" s="341">
        <v>15</v>
      </c>
      <c r="G19" s="343">
        <v>747.9</v>
      </c>
      <c r="H19" s="122" t="s">
        <v>723</v>
      </c>
      <c r="I19" s="122">
        <v>183</v>
      </c>
      <c r="J19" s="262"/>
      <c r="K19" s="262"/>
    </row>
    <row r="20" spans="1:11" ht="14.25" customHeight="1">
      <c r="A20" s="351" t="s">
        <v>176</v>
      </c>
      <c r="B20" s="341"/>
      <c r="C20" s="343">
        <v>0</v>
      </c>
      <c r="D20" s="341">
        <v>30</v>
      </c>
      <c r="E20" s="343">
        <v>1497.6</v>
      </c>
      <c r="F20" s="341">
        <v>30</v>
      </c>
      <c r="G20" s="343">
        <v>1497.6</v>
      </c>
      <c r="H20" s="122" t="s">
        <v>724</v>
      </c>
      <c r="I20" s="122">
        <v>209.33</v>
      </c>
      <c r="J20" s="262"/>
      <c r="K20" s="262"/>
    </row>
    <row r="21" spans="1:11" ht="14.25" customHeight="1">
      <c r="A21" s="351" t="s">
        <v>130</v>
      </c>
      <c r="B21" s="341">
        <v>20</v>
      </c>
      <c r="C21" s="343">
        <v>997</v>
      </c>
      <c r="D21" s="341">
        <v>0</v>
      </c>
      <c r="E21" s="343">
        <v>0</v>
      </c>
      <c r="F21" s="341">
        <v>20</v>
      </c>
      <c r="G21" s="343">
        <v>997</v>
      </c>
      <c r="H21" s="122" t="s">
        <v>725</v>
      </c>
      <c r="I21" s="122">
        <v>119.5</v>
      </c>
      <c r="J21" s="262"/>
      <c r="K21" s="262"/>
    </row>
    <row r="22" spans="1:11" ht="14.25" customHeight="1">
      <c r="A22" s="351" t="s">
        <v>475</v>
      </c>
      <c r="B22" s="341">
        <v>255</v>
      </c>
      <c r="C22" s="343">
        <v>12718.5</v>
      </c>
      <c r="D22" s="341">
        <v>0</v>
      </c>
      <c r="E22" s="343">
        <v>0</v>
      </c>
      <c r="F22" s="341">
        <v>255</v>
      </c>
      <c r="G22" s="343">
        <v>12718.5</v>
      </c>
      <c r="H22" s="122" t="s">
        <v>726</v>
      </c>
      <c r="I22" s="122">
        <v>204.16</v>
      </c>
      <c r="J22" s="262"/>
      <c r="K22" s="262"/>
    </row>
    <row r="23" spans="1:11" ht="14.25" customHeight="1">
      <c r="A23" s="351" t="s">
        <v>59</v>
      </c>
      <c r="B23" s="341">
        <v>220</v>
      </c>
      <c r="C23" s="343">
        <v>10973</v>
      </c>
      <c r="D23" s="341">
        <v>0</v>
      </c>
      <c r="E23" s="343">
        <v>0</v>
      </c>
      <c r="F23" s="341">
        <v>220</v>
      </c>
      <c r="G23" s="343">
        <v>10973</v>
      </c>
      <c r="H23" s="122" t="s">
        <v>727</v>
      </c>
      <c r="I23" s="122">
        <v>112.59</v>
      </c>
      <c r="J23" s="262"/>
      <c r="K23" s="262"/>
    </row>
    <row r="24" spans="1:11" ht="14.25" customHeight="1">
      <c r="A24" s="351" t="s">
        <v>63</v>
      </c>
      <c r="B24" s="341">
        <v>43</v>
      </c>
      <c r="C24" s="343">
        <v>2103.5</v>
      </c>
      <c r="D24" s="341">
        <v>0</v>
      </c>
      <c r="E24" s="343">
        <v>0</v>
      </c>
      <c r="F24" s="341">
        <v>43</v>
      </c>
      <c r="G24" s="343">
        <v>2103.5</v>
      </c>
      <c r="H24" s="122" t="s">
        <v>728</v>
      </c>
      <c r="I24" s="122">
        <v>261.78</v>
      </c>
      <c r="J24" s="262"/>
      <c r="K24" s="262"/>
    </row>
    <row r="25" spans="1:11" ht="14.25" customHeight="1">
      <c r="A25" s="351" t="s">
        <v>136</v>
      </c>
      <c r="B25" s="341">
        <v>30</v>
      </c>
      <c r="C25" s="343">
        <v>1498.5</v>
      </c>
      <c r="D25" s="341">
        <v>0</v>
      </c>
      <c r="E25" s="343">
        <v>0</v>
      </c>
      <c r="F25" s="341">
        <v>30</v>
      </c>
      <c r="G25" s="343">
        <v>1498.5</v>
      </c>
      <c r="H25" s="122" t="s">
        <v>729</v>
      </c>
      <c r="I25" s="122">
        <v>120.67</v>
      </c>
      <c r="J25" s="262"/>
      <c r="K25" s="262"/>
    </row>
    <row r="26" spans="1:11" ht="14.25" customHeight="1">
      <c r="A26" s="351" t="s">
        <v>67</v>
      </c>
      <c r="B26" s="341">
        <v>80</v>
      </c>
      <c r="C26" s="343">
        <v>3997</v>
      </c>
      <c r="D26" s="341">
        <v>30</v>
      </c>
      <c r="E26" s="343">
        <v>1497.6</v>
      </c>
      <c r="F26" s="341">
        <v>110</v>
      </c>
      <c r="G26" s="343">
        <v>5494.6</v>
      </c>
      <c r="H26" s="122" t="s">
        <v>730</v>
      </c>
      <c r="I26" s="122">
        <v>198.45</v>
      </c>
      <c r="J26" s="262"/>
      <c r="K26" s="262"/>
    </row>
    <row r="27" spans="1:11" ht="14.25" customHeight="1">
      <c r="A27" s="351" t="s">
        <v>71</v>
      </c>
      <c r="B27" s="341">
        <v>790</v>
      </c>
      <c r="C27" s="343">
        <v>39435.5</v>
      </c>
      <c r="D27" s="341">
        <v>120</v>
      </c>
      <c r="E27" s="343">
        <v>5990.4</v>
      </c>
      <c r="F27" s="341">
        <v>910</v>
      </c>
      <c r="G27" s="343">
        <v>45425.9</v>
      </c>
      <c r="H27" s="122" t="s">
        <v>731</v>
      </c>
      <c r="I27" s="122">
        <v>198.23</v>
      </c>
      <c r="J27" s="262"/>
      <c r="K27" s="262"/>
    </row>
    <row r="28" spans="1:11" ht="14.25" customHeight="1">
      <c r="A28" s="351" t="s">
        <v>141</v>
      </c>
      <c r="B28" s="341">
        <v>30</v>
      </c>
      <c r="C28" s="343">
        <v>1495.5</v>
      </c>
      <c r="D28" s="341">
        <v>10</v>
      </c>
      <c r="E28" s="343">
        <v>499.2</v>
      </c>
      <c r="F28" s="341">
        <v>40</v>
      </c>
      <c r="G28" s="343">
        <v>1994.7</v>
      </c>
      <c r="H28" s="122" t="s">
        <v>732</v>
      </c>
      <c r="I28" s="122">
        <v>210.57</v>
      </c>
      <c r="J28" s="262"/>
      <c r="K28" s="262"/>
    </row>
    <row r="29" spans="1:11" ht="14.25" customHeight="1">
      <c r="A29" s="351" t="s">
        <v>73</v>
      </c>
      <c r="B29" s="341">
        <v>20</v>
      </c>
      <c r="C29" s="343">
        <v>997</v>
      </c>
      <c r="D29" s="341">
        <v>0</v>
      </c>
      <c r="E29" s="343">
        <v>0</v>
      </c>
      <c r="F29" s="341">
        <v>20</v>
      </c>
      <c r="G29" s="343">
        <v>997</v>
      </c>
      <c r="H29" s="122" t="s">
        <v>733</v>
      </c>
      <c r="I29" s="122">
        <v>208</v>
      </c>
      <c r="J29" s="262"/>
      <c r="K29" s="262"/>
    </row>
    <row r="30" spans="1:11" ht="14.25" customHeight="1">
      <c r="A30" s="351" t="s">
        <v>75</v>
      </c>
      <c r="B30" s="341"/>
      <c r="C30" s="343">
        <v>0</v>
      </c>
      <c r="D30" s="341">
        <v>10</v>
      </c>
      <c r="E30" s="343">
        <v>499.2</v>
      </c>
      <c r="F30" s="341">
        <v>10</v>
      </c>
      <c r="G30" s="343">
        <v>499.2</v>
      </c>
      <c r="H30" s="122">
        <v>82867.2</v>
      </c>
      <c r="I30" s="122">
        <v>166</v>
      </c>
      <c r="J30" s="262"/>
      <c r="K30" s="262"/>
    </row>
    <row r="31" spans="1:11" ht="14.25" customHeight="1">
      <c r="A31" s="351" t="s">
        <v>77</v>
      </c>
      <c r="B31" s="341"/>
      <c r="C31" s="343">
        <v>0</v>
      </c>
      <c r="D31" s="341">
        <v>14</v>
      </c>
      <c r="E31" s="343">
        <v>698.5</v>
      </c>
      <c r="F31" s="341">
        <v>14</v>
      </c>
      <c r="G31" s="343">
        <v>698.5</v>
      </c>
      <c r="H31" s="122" t="s">
        <v>734</v>
      </c>
      <c r="I31" s="122">
        <v>253.14</v>
      </c>
      <c r="J31" s="262"/>
      <c r="K31" s="262"/>
    </row>
    <row r="32" spans="1:11" ht="14.25" customHeight="1">
      <c r="A32" s="351" t="s">
        <v>445</v>
      </c>
      <c r="B32" s="341"/>
      <c r="C32" s="343">
        <v>0</v>
      </c>
      <c r="D32" s="341">
        <v>5</v>
      </c>
      <c r="E32" s="343">
        <v>249.5</v>
      </c>
      <c r="F32" s="341">
        <v>5</v>
      </c>
      <c r="G32" s="343">
        <v>249.5</v>
      </c>
      <c r="H32" s="122">
        <v>65868</v>
      </c>
      <c r="I32" s="122">
        <v>264</v>
      </c>
      <c r="J32" s="262"/>
      <c r="K32" s="262"/>
    </row>
    <row r="33" spans="1:11" ht="14.25" customHeight="1">
      <c r="A33" s="351" t="s">
        <v>221</v>
      </c>
      <c r="B33" s="341">
        <v>215</v>
      </c>
      <c r="C33" s="343">
        <v>10729</v>
      </c>
      <c r="D33" s="341">
        <v>10</v>
      </c>
      <c r="E33" s="343">
        <v>499.2</v>
      </c>
      <c r="F33" s="341">
        <v>225</v>
      </c>
      <c r="G33" s="343">
        <v>11228.2</v>
      </c>
      <c r="H33" s="122" t="s">
        <v>735</v>
      </c>
      <c r="I33" s="122">
        <v>165.68</v>
      </c>
      <c r="J33" s="262"/>
      <c r="K33" s="262"/>
    </row>
    <row r="34" spans="1:11" ht="14.25" customHeight="1">
      <c r="A34" s="351" t="s">
        <v>81</v>
      </c>
      <c r="B34" s="341">
        <v>88</v>
      </c>
      <c r="C34" s="343">
        <v>4395.5</v>
      </c>
      <c r="D34" s="341">
        <v>0</v>
      </c>
      <c r="E34" s="343">
        <v>0</v>
      </c>
      <c r="F34" s="341">
        <v>88</v>
      </c>
      <c r="G34" s="343">
        <v>4395.5</v>
      </c>
      <c r="H34" s="122" t="s">
        <v>736</v>
      </c>
      <c r="I34" s="122">
        <v>191.46</v>
      </c>
      <c r="J34" s="262"/>
      <c r="K34" s="262"/>
    </row>
    <row r="35" spans="1:11" ht="14.25" customHeight="1">
      <c r="A35" s="351" t="s">
        <v>83</v>
      </c>
      <c r="B35" s="341">
        <v>130</v>
      </c>
      <c r="C35" s="343">
        <v>6486.5</v>
      </c>
      <c r="D35" s="341">
        <v>20</v>
      </c>
      <c r="E35" s="343">
        <v>998.4</v>
      </c>
      <c r="F35" s="341">
        <v>150</v>
      </c>
      <c r="G35" s="343">
        <v>7484.9</v>
      </c>
      <c r="H35" s="122" t="s">
        <v>737</v>
      </c>
      <c r="I35" s="122">
        <v>185.14</v>
      </c>
      <c r="J35" s="262"/>
      <c r="K35" s="262"/>
    </row>
    <row r="36" spans="1:11" ht="14.25" customHeight="1">
      <c r="A36" s="351" t="s">
        <v>87</v>
      </c>
      <c r="B36" s="341">
        <v>20</v>
      </c>
      <c r="C36" s="343">
        <v>1000</v>
      </c>
      <c r="D36" s="341">
        <v>10</v>
      </c>
      <c r="E36" s="343">
        <v>499.2</v>
      </c>
      <c r="F36" s="341">
        <v>30</v>
      </c>
      <c r="G36" s="343">
        <v>1499.2</v>
      </c>
      <c r="H36" s="122" t="s">
        <v>738</v>
      </c>
      <c r="I36" s="122">
        <v>150.64</v>
      </c>
      <c r="J36" s="262"/>
      <c r="K36" s="262"/>
    </row>
    <row r="37" spans="1:11" ht="14.25" customHeight="1">
      <c r="A37" s="351" t="s">
        <v>150</v>
      </c>
      <c r="B37" s="341">
        <v>10</v>
      </c>
      <c r="C37" s="343">
        <v>498.5</v>
      </c>
      <c r="D37" s="341">
        <v>25</v>
      </c>
      <c r="E37" s="343">
        <v>1247.1</v>
      </c>
      <c r="F37" s="341">
        <v>35</v>
      </c>
      <c r="G37" s="343">
        <v>1745.6</v>
      </c>
      <c r="H37" s="122" t="s">
        <v>739</v>
      </c>
      <c r="I37" s="122">
        <v>185.68</v>
      </c>
      <c r="J37" s="262"/>
      <c r="K37" s="262"/>
    </row>
    <row r="38" spans="1:11" ht="14.25" customHeight="1">
      <c r="A38" s="351" t="s">
        <v>226</v>
      </c>
      <c r="B38" s="341"/>
      <c r="C38" s="343">
        <v>0</v>
      </c>
      <c r="D38" s="341">
        <v>65</v>
      </c>
      <c r="E38" s="343">
        <v>3244.4</v>
      </c>
      <c r="F38" s="341">
        <v>65</v>
      </c>
      <c r="G38" s="343">
        <v>3244.4</v>
      </c>
      <c r="H38" s="122" t="s">
        <v>740</v>
      </c>
      <c r="I38" s="122">
        <v>177.85</v>
      </c>
      <c r="J38" s="262"/>
      <c r="K38" s="262"/>
    </row>
    <row r="39" spans="1:11" ht="14.25" customHeight="1">
      <c r="A39" s="351" t="s">
        <v>90</v>
      </c>
      <c r="B39" s="341">
        <v>10</v>
      </c>
      <c r="C39" s="343">
        <v>498.5</v>
      </c>
      <c r="D39" s="341">
        <v>0</v>
      </c>
      <c r="E39" s="343">
        <v>0</v>
      </c>
      <c r="F39" s="341">
        <v>10</v>
      </c>
      <c r="G39" s="343">
        <v>498.5</v>
      </c>
      <c r="H39" s="122" t="s">
        <v>514</v>
      </c>
      <c r="I39" s="122">
        <v>285</v>
      </c>
      <c r="J39" s="262"/>
      <c r="K39" s="262"/>
    </row>
    <row r="40" spans="1:11" ht="14.25" customHeight="1">
      <c r="A40" s="351" t="s">
        <v>347</v>
      </c>
      <c r="B40" s="341"/>
      <c r="C40" s="343">
        <v>0</v>
      </c>
      <c r="D40" s="341">
        <v>35</v>
      </c>
      <c r="E40" s="343">
        <v>1746.8</v>
      </c>
      <c r="F40" s="341">
        <v>35</v>
      </c>
      <c r="G40" s="343">
        <v>1746.8</v>
      </c>
      <c r="H40" s="122" t="s">
        <v>741</v>
      </c>
      <c r="I40" s="122">
        <v>186.14</v>
      </c>
      <c r="J40" s="262"/>
      <c r="K40" s="262"/>
    </row>
    <row r="41" spans="1:11" ht="14.25" customHeight="1">
      <c r="A41" s="351" t="s">
        <v>155</v>
      </c>
      <c r="B41" s="341">
        <v>40</v>
      </c>
      <c r="C41" s="343">
        <v>1995.5</v>
      </c>
      <c r="D41" s="341">
        <v>0</v>
      </c>
      <c r="E41" s="343">
        <v>0</v>
      </c>
      <c r="F41" s="341">
        <v>40</v>
      </c>
      <c r="G41" s="343">
        <v>1995.5</v>
      </c>
      <c r="H41" s="122" t="s">
        <v>742</v>
      </c>
      <c r="I41" s="122">
        <v>212.5</v>
      </c>
      <c r="J41" s="262"/>
      <c r="K41" s="262"/>
    </row>
    <row r="42" spans="1:11" ht="14.25" customHeight="1">
      <c r="A42" s="351" t="s">
        <v>92</v>
      </c>
      <c r="B42" s="341"/>
      <c r="C42" s="343">
        <v>0</v>
      </c>
      <c r="D42" s="341">
        <v>10</v>
      </c>
      <c r="E42" s="343">
        <v>499.2</v>
      </c>
      <c r="F42" s="341">
        <v>10</v>
      </c>
      <c r="G42" s="343">
        <v>499.2</v>
      </c>
      <c r="H42" s="122">
        <v>84864</v>
      </c>
      <c r="I42" s="122">
        <v>170</v>
      </c>
      <c r="J42" s="262"/>
      <c r="K42" s="262"/>
    </row>
    <row r="43" spans="1:11" ht="14.25" customHeight="1">
      <c r="A43" s="351" t="s">
        <v>157</v>
      </c>
      <c r="B43" s="341">
        <v>30</v>
      </c>
      <c r="C43" s="343">
        <v>1497</v>
      </c>
      <c r="D43" s="341">
        <v>0</v>
      </c>
      <c r="E43" s="343">
        <v>0</v>
      </c>
      <c r="F43" s="341">
        <v>30</v>
      </c>
      <c r="G43" s="343">
        <v>1497</v>
      </c>
      <c r="H43" s="122" t="s">
        <v>743</v>
      </c>
      <c r="I43" s="122">
        <v>182.36</v>
      </c>
      <c r="J43" s="262"/>
      <c r="K43" s="262"/>
    </row>
    <row r="44" spans="1:11" ht="14.25" customHeight="1">
      <c r="A44" s="351" t="s">
        <v>94</v>
      </c>
      <c r="B44" s="341">
        <v>80</v>
      </c>
      <c r="C44" s="343">
        <v>3988</v>
      </c>
      <c r="D44" s="341">
        <v>0</v>
      </c>
      <c r="E44" s="343">
        <v>0</v>
      </c>
      <c r="F44" s="341">
        <v>80</v>
      </c>
      <c r="G44" s="343">
        <v>3988</v>
      </c>
      <c r="H44" s="122" t="s">
        <v>744</v>
      </c>
      <c r="I44" s="122">
        <v>203.63</v>
      </c>
      <c r="J44" s="262"/>
      <c r="K44" s="262"/>
    </row>
    <row r="45" spans="1:11" ht="14.25" customHeight="1">
      <c r="A45" s="351" t="s">
        <v>190</v>
      </c>
      <c r="B45" s="341">
        <v>10</v>
      </c>
      <c r="C45" s="343">
        <v>498.5</v>
      </c>
      <c r="D45" s="341">
        <v>0</v>
      </c>
      <c r="E45" s="343">
        <v>0</v>
      </c>
      <c r="F45" s="341">
        <v>10</v>
      </c>
      <c r="G45" s="343">
        <v>498.5</v>
      </c>
      <c r="H45" s="122">
        <v>57327.5</v>
      </c>
      <c r="I45" s="122">
        <v>115</v>
      </c>
      <c r="J45" s="262"/>
      <c r="K45" s="262"/>
    </row>
    <row r="46" spans="1:11" ht="14.25" customHeight="1">
      <c r="A46" s="351" t="s">
        <v>96</v>
      </c>
      <c r="B46" s="341">
        <v>30</v>
      </c>
      <c r="C46" s="343">
        <v>1498.5</v>
      </c>
      <c r="D46" s="341">
        <v>0</v>
      </c>
      <c r="E46" s="343">
        <v>0</v>
      </c>
      <c r="F46" s="341">
        <v>30</v>
      </c>
      <c r="G46" s="343">
        <v>1498.5</v>
      </c>
      <c r="H46" s="122" t="s">
        <v>745</v>
      </c>
      <c r="I46" s="122">
        <v>234</v>
      </c>
      <c r="J46" s="262"/>
      <c r="K46" s="262"/>
    </row>
    <row r="47" spans="1:11" ht="14.25" customHeight="1">
      <c r="A47" s="119" t="s">
        <v>98</v>
      </c>
      <c r="B47" s="362">
        <v>50</v>
      </c>
      <c r="C47" s="343">
        <v>2492.5</v>
      </c>
      <c r="D47" s="362">
        <v>10</v>
      </c>
      <c r="E47" s="121">
        <v>499.2</v>
      </c>
      <c r="F47" s="362">
        <v>60</v>
      </c>
      <c r="G47" s="121">
        <v>2991.7</v>
      </c>
      <c r="H47" s="122" t="s">
        <v>746</v>
      </c>
      <c r="I47" s="122">
        <v>115</v>
      </c>
      <c r="J47" s="262"/>
      <c r="K47" s="262"/>
    </row>
    <row r="48" spans="1:11" ht="14.25" customHeight="1">
      <c r="A48" s="119" t="s">
        <v>99</v>
      </c>
      <c r="B48" s="362"/>
      <c r="C48" s="343">
        <v>0</v>
      </c>
      <c r="D48" s="362">
        <v>24</v>
      </c>
      <c r="E48" s="121">
        <v>1197.7</v>
      </c>
      <c r="F48" s="362">
        <v>24</v>
      </c>
      <c r="G48" s="121">
        <v>1197.7</v>
      </c>
      <c r="H48" s="122" t="s">
        <v>747</v>
      </c>
      <c r="I48" s="122">
        <v>240.65</v>
      </c>
      <c r="J48" s="262"/>
      <c r="K48" s="262"/>
    </row>
    <row r="49" spans="1:11" ht="14.25" customHeight="1">
      <c r="A49" s="119" t="s">
        <v>107</v>
      </c>
      <c r="B49" s="371">
        <v>10</v>
      </c>
      <c r="C49" s="346">
        <v>500</v>
      </c>
      <c r="D49" s="371">
        <v>0</v>
      </c>
      <c r="E49" s="372">
        <v>0</v>
      </c>
      <c r="F49" s="371">
        <v>10</v>
      </c>
      <c r="G49" s="372">
        <v>500</v>
      </c>
      <c r="H49" s="347" t="s">
        <v>748</v>
      </c>
      <c r="I49" s="347">
        <v>307</v>
      </c>
      <c r="J49" s="262"/>
      <c r="K49" s="262"/>
    </row>
    <row r="50" spans="1:11" ht="14.25" customHeight="1">
      <c r="A50" s="119" t="s">
        <v>14</v>
      </c>
      <c r="B50" s="371">
        <v>2959</v>
      </c>
      <c r="C50" s="346" t="s">
        <v>749</v>
      </c>
      <c r="D50" s="371">
        <v>573</v>
      </c>
      <c r="E50" s="372">
        <v>28599.2</v>
      </c>
      <c r="F50" s="371">
        <v>3532</v>
      </c>
      <c r="G50" s="372" t="s">
        <v>750</v>
      </c>
      <c r="H50" s="347" t="s">
        <v>751</v>
      </c>
      <c r="I50" s="347">
        <v>194.03</v>
      </c>
      <c r="J50" s="262"/>
      <c r="K50" s="262"/>
    </row>
    <row r="51" spans="1:10" ht="14.25" customHeight="1">
      <c r="A51" s="344"/>
      <c r="B51" s="355"/>
      <c r="C51" s="342"/>
      <c r="D51" s="355"/>
      <c r="E51" s="355"/>
      <c r="F51" s="355"/>
      <c r="G51" s="342"/>
      <c r="H51" s="355"/>
      <c r="I51" s="355"/>
      <c r="J51" s="1"/>
    </row>
    <row r="52" spans="1:10" ht="14.25" customHeight="1">
      <c r="A52" s="344"/>
      <c r="B52" s="355"/>
      <c r="C52" s="342"/>
      <c r="D52" s="355"/>
      <c r="E52" s="117"/>
      <c r="F52" s="356"/>
      <c r="G52" s="342" t="s">
        <v>119</v>
      </c>
      <c r="H52" s="118"/>
      <c r="I52" s="118"/>
      <c r="J52" s="1"/>
    </row>
    <row r="53" spans="1:10" ht="14.25" customHeight="1">
      <c r="A53" s="344"/>
      <c r="B53" s="355"/>
      <c r="C53" s="342"/>
      <c r="D53" s="355"/>
      <c r="E53" s="114"/>
      <c r="F53" s="117"/>
      <c r="G53" s="359" t="s">
        <v>121</v>
      </c>
      <c r="H53" s="118"/>
      <c r="I53" s="118"/>
      <c r="J53" s="1"/>
    </row>
    <row r="54" ht="14.25" customHeight="1">
      <c r="A54" s="344"/>
    </row>
    <row r="55" ht="14.25" customHeight="1">
      <c r="A55" s="329" t="s">
        <v>117</v>
      </c>
    </row>
    <row r="56" ht="14.25" customHeight="1">
      <c r="A56" s="329" t="s">
        <v>118</v>
      </c>
    </row>
    <row r="57" ht="14.25" customHeight="1">
      <c r="A57" s="329" t="s">
        <v>120</v>
      </c>
    </row>
    <row r="58" ht="14.25" customHeight="1">
      <c r="A58" s="329" t="s">
        <v>122</v>
      </c>
    </row>
    <row r="59" ht="14.25" customHeight="1">
      <c r="A59" s="329" t="s">
        <v>123</v>
      </c>
    </row>
  </sheetData>
  <sheetProtection/>
  <printOptions/>
  <pageMargins left="0.7" right="0.7" top="0.58" bottom="0.2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5.421875" style="378" customWidth="1"/>
    <col min="2" max="2" width="5.7109375" style="31" customWidth="1"/>
    <col min="3" max="3" width="9.00390625" style="360" customWidth="1"/>
    <col min="4" max="4" width="7.57421875" style="802" customWidth="1"/>
    <col min="5" max="5" width="9.00390625" style="244" customWidth="1"/>
    <col min="6" max="6" width="6.57421875" style="31" customWidth="1"/>
    <col min="7" max="7" width="9.7109375" style="360" customWidth="1"/>
    <col min="8" max="8" width="12.8515625" style="48" customWidth="1"/>
    <col min="9" max="9" width="9.57421875" style="48" customWidth="1"/>
    <col min="10" max="14" width="8.8515625" style="378" customWidth="1"/>
    <col min="15" max="15" width="12.7109375" style="378" bestFit="1" customWidth="1"/>
    <col min="16" max="16384" width="8.8515625" style="378" customWidth="1"/>
  </cols>
  <sheetData>
    <row r="1" spans="1:10" ht="18" customHeight="1">
      <c r="A1" s="683" t="s">
        <v>1694</v>
      </c>
      <c r="B1" s="684"/>
      <c r="C1" s="685"/>
      <c r="D1" s="798"/>
      <c r="E1" s="686"/>
      <c r="F1" s="684"/>
      <c r="G1" s="685"/>
      <c r="H1" s="687"/>
      <c r="I1" s="687"/>
      <c r="J1" s="262"/>
    </row>
    <row r="2" spans="1:10" ht="18" customHeight="1">
      <c r="A2" s="683" t="s">
        <v>1695</v>
      </c>
      <c r="B2" s="684"/>
      <c r="C2" s="685"/>
      <c r="D2" s="798"/>
      <c r="E2" s="686"/>
      <c r="F2" s="684"/>
      <c r="G2" s="685"/>
      <c r="H2" s="687"/>
      <c r="I2" s="687"/>
      <c r="J2" s="262"/>
    </row>
    <row r="3" spans="1:10" ht="18" customHeight="1">
      <c r="A3" s="683" t="s">
        <v>110</v>
      </c>
      <c r="B3" s="684"/>
      <c r="C3" s="685"/>
      <c r="D3" s="798"/>
      <c r="E3" s="686"/>
      <c r="F3" s="684"/>
      <c r="G3" s="685"/>
      <c r="H3" s="687"/>
      <c r="I3" s="687"/>
      <c r="J3" s="262"/>
    </row>
    <row r="4" spans="1:10" ht="18" customHeight="1">
      <c r="A4" s="683" t="s">
        <v>5</v>
      </c>
      <c r="B4" s="684"/>
      <c r="C4" s="685"/>
      <c r="D4" s="798"/>
      <c r="E4" s="686"/>
      <c r="F4" s="684"/>
      <c r="G4" s="685"/>
      <c r="H4" s="687"/>
      <c r="I4" s="687"/>
      <c r="J4" s="262"/>
    </row>
    <row r="5" spans="1:10" ht="18" customHeight="1">
      <c r="A5" s="683" t="s">
        <v>6</v>
      </c>
      <c r="B5" s="684"/>
      <c r="C5" s="685"/>
      <c r="D5" s="798"/>
      <c r="E5" s="688"/>
      <c r="F5" s="684"/>
      <c r="G5" s="685"/>
      <c r="H5" s="687"/>
      <c r="I5" s="687"/>
      <c r="J5" s="262"/>
    </row>
    <row r="6" spans="1:10" ht="18" customHeight="1">
      <c r="A6" s="683" t="s">
        <v>111</v>
      </c>
      <c r="B6" s="684"/>
      <c r="C6" s="685"/>
      <c r="D6" s="798"/>
      <c r="E6" s="686"/>
      <c r="F6" s="684"/>
      <c r="G6" s="685"/>
      <c r="H6" s="687"/>
      <c r="I6" s="687"/>
      <c r="J6" s="262"/>
    </row>
    <row r="7" spans="1:10" ht="18" customHeight="1">
      <c r="A7" s="683" t="s">
        <v>112</v>
      </c>
      <c r="B7" s="684"/>
      <c r="C7" s="685"/>
      <c r="D7" s="798"/>
      <c r="E7" s="689" t="s">
        <v>113</v>
      </c>
      <c r="F7" s="684"/>
      <c r="G7" s="685"/>
      <c r="H7" s="687"/>
      <c r="I7" s="687"/>
      <c r="J7" s="262"/>
    </row>
    <row r="8" spans="1:10" ht="18" customHeight="1">
      <c r="A8" s="690" t="s">
        <v>1696</v>
      </c>
      <c r="B8" s="691"/>
      <c r="C8" s="692"/>
      <c r="D8" s="799"/>
      <c r="E8" s="693"/>
      <c r="F8" s="691"/>
      <c r="G8" s="692"/>
      <c r="H8" s="694"/>
      <c r="I8" s="694"/>
      <c r="J8" s="262"/>
    </row>
    <row r="9" spans="1:10" ht="18" customHeight="1">
      <c r="A9" s="262"/>
      <c r="B9" s="695" t="s">
        <v>45</v>
      </c>
      <c r="C9" s="696"/>
      <c r="D9" s="695" t="s">
        <v>46</v>
      </c>
      <c r="E9" s="696"/>
      <c r="F9" s="695"/>
      <c r="G9" s="697" t="s">
        <v>47</v>
      </c>
      <c r="H9" s="698"/>
      <c r="I9" s="698"/>
      <c r="J9" s="262"/>
    </row>
    <row r="10" spans="1:10" ht="18" customHeight="1">
      <c r="A10" s="699" t="s">
        <v>461</v>
      </c>
      <c r="B10" s="700" t="s">
        <v>49</v>
      </c>
      <c r="C10" s="701" t="s">
        <v>50</v>
      </c>
      <c r="D10" s="700" t="s">
        <v>49</v>
      </c>
      <c r="E10" s="701" t="s">
        <v>50</v>
      </c>
      <c r="F10" s="700" t="s">
        <v>49</v>
      </c>
      <c r="G10" s="701" t="s">
        <v>50</v>
      </c>
      <c r="H10" s="702" t="s">
        <v>51</v>
      </c>
      <c r="I10" s="702" t="s">
        <v>52</v>
      </c>
      <c r="J10" s="262"/>
    </row>
    <row r="11" spans="1:10" ht="18" customHeight="1">
      <c r="A11" s="706" t="s">
        <v>71</v>
      </c>
      <c r="B11" s="792">
        <v>50</v>
      </c>
      <c r="C11" s="797">
        <v>2494</v>
      </c>
      <c r="D11" s="800">
        <v>0</v>
      </c>
      <c r="E11" s="794">
        <v>0</v>
      </c>
      <c r="F11" s="793">
        <v>50</v>
      </c>
      <c r="G11" s="797">
        <v>2494</v>
      </c>
      <c r="H11" s="795" t="s">
        <v>1711</v>
      </c>
      <c r="I11" s="796">
        <v>87.61</v>
      </c>
      <c r="J11" s="262"/>
    </row>
    <row r="12" spans="1:10" ht="18" customHeight="1">
      <c r="A12" s="706" t="s">
        <v>578</v>
      </c>
      <c r="B12" s="803">
        <v>70</v>
      </c>
      <c r="C12" s="804">
        <v>3488</v>
      </c>
      <c r="D12" s="800">
        <v>0</v>
      </c>
      <c r="E12" s="794">
        <v>0</v>
      </c>
      <c r="F12" s="807">
        <v>70</v>
      </c>
      <c r="G12" s="804">
        <v>3488</v>
      </c>
      <c r="H12" s="808" t="s">
        <v>1726</v>
      </c>
      <c r="I12" s="809">
        <v>78.14</v>
      </c>
      <c r="J12" s="262"/>
    </row>
    <row r="13" spans="1:10" ht="18" customHeight="1">
      <c r="A13" s="262" t="s">
        <v>14</v>
      </c>
      <c r="B13" s="703">
        <f aca="true" t="shared" si="0" ref="B13:G13">SUM(B11:B12)</f>
        <v>120</v>
      </c>
      <c r="C13" s="704">
        <f t="shared" si="0"/>
        <v>5982</v>
      </c>
      <c r="D13" s="695">
        <f t="shared" si="0"/>
        <v>0</v>
      </c>
      <c r="E13" s="697">
        <f t="shared" si="0"/>
        <v>0</v>
      </c>
      <c r="F13" s="703">
        <f t="shared" si="0"/>
        <v>120</v>
      </c>
      <c r="G13" s="704">
        <f t="shared" si="0"/>
        <v>5982</v>
      </c>
      <c r="H13" s="811">
        <v>491040.5</v>
      </c>
      <c r="I13" s="705">
        <f>H13/G13</f>
        <v>82.08634236041458</v>
      </c>
      <c r="J13" s="262"/>
    </row>
    <row r="14" spans="1:10" ht="18" customHeight="1">
      <c r="A14" s="699" t="s">
        <v>462</v>
      </c>
      <c r="B14" s="700" t="s">
        <v>49</v>
      </c>
      <c r="C14" s="701" t="s">
        <v>50</v>
      </c>
      <c r="D14" s="700" t="s">
        <v>49</v>
      </c>
      <c r="E14" s="701" t="s">
        <v>50</v>
      </c>
      <c r="F14" s="700" t="s">
        <v>49</v>
      </c>
      <c r="G14" s="701" t="s">
        <v>50</v>
      </c>
      <c r="H14" s="702" t="s">
        <v>51</v>
      </c>
      <c r="I14" s="702" t="s">
        <v>52</v>
      </c>
      <c r="J14" s="262"/>
    </row>
    <row r="15" spans="1:10" ht="18" customHeight="1">
      <c r="A15" s="780" t="s">
        <v>53</v>
      </c>
      <c r="B15" s="792">
        <v>775</v>
      </c>
      <c r="C15" s="797">
        <v>38591</v>
      </c>
      <c r="D15" s="800">
        <v>10</v>
      </c>
      <c r="E15" s="794">
        <v>499.2</v>
      </c>
      <c r="F15" s="793">
        <v>785</v>
      </c>
      <c r="G15" s="797">
        <v>39090.2</v>
      </c>
      <c r="H15" s="795" t="s">
        <v>1697</v>
      </c>
      <c r="I15" s="796">
        <v>107.54</v>
      </c>
      <c r="J15" s="262"/>
    </row>
    <row r="16" spans="1:10" ht="18" customHeight="1">
      <c r="A16" s="780" t="s">
        <v>322</v>
      </c>
      <c r="B16" s="792">
        <v>40</v>
      </c>
      <c r="C16" s="797">
        <v>1992.5</v>
      </c>
      <c r="D16" s="800">
        <v>0</v>
      </c>
      <c r="E16" s="794">
        <v>0</v>
      </c>
      <c r="F16" s="793">
        <v>40</v>
      </c>
      <c r="G16" s="797">
        <v>1992.5</v>
      </c>
      <c r="H16" s="795" t="s">
        <v>1698</v>
      </c>
      <c r="I16" s="796">
        <v>69</v>
      </c>
      <c r="J16" s="262"/>
    </row>
    <row r="17" spans="1:10" ht="18" customHeight="1">
      <c r="A17" s="780" t="s">
        <v>469</v>
      </c>
      <c r="B17" s="41"/>
      <c r="C17" s="797">
        <v>0</v>
      </c>
      <c r="D17" s="800">
        <v>55</v>
      </c>
      <c r="E17" s="794">
        <v>2745.2</v>
      </c>
      <c r="F17" s="793">
        <v>55</v>
      </c>
      <c r="G17" s="797">
        <v>2745.2</v>
      </c>
      <c r="H17" s="795" t="s">
        <v>1699</v>
      </c>
      <c r="I17" s="796">
        <v>115.9</v>
      </c>
      <c r="J17" s="262"/>
    </row>
    <row r="18" spans="1:10" ht="18" customHeight="1">
      <c r="A18" s="780" t="s">
        <v>128</v>
      </c>
      <c r="B18" s="792">
        <v>80</v>
      </c>
      <c r="C18" s="797">
        <v>3979</v>
      </c>
      <c r="D18" s="800">
        <v>5</v>
      </c>
      <c r="E18" s="794">
        <v>249.5</v>
      </c>
      <c r="F18" s="793">
        <v>85</v>
      </c>
      <c r="G18" s="797">
        <v>4228.5</v>
      </c>
      <c r="H18" s="795" t="s">
        <v>1700</v>
      </c>
      <c r="I18" s="796">
        <v>168.23</v>
      </c>
      <c r="J18" s="262"/>
    </row>
    <row r="19" spans="1:10" ht="18" customHeight="1">
      <c r="A19" s="780" t="s">
        <v>171</v>
      </c>
      <c r="B19" s="41">
        <v>170</v>
      </c>
      <c r="C19" s="797">
        <v>8449</v>
      </c>
      <c r="D19" s="800">
        <v>360</v>
      </c>
      <c r="E19" s="794">
        <v>17956.5</v>
      </c>
      <c r="F19" s="793">
        <v>530</v>
      </c>
      <c r="G19" s="797">
        <v>26405.5</v>
      </c>
      <c r="H19" s="795">
        <v>2783021.8</v>
      </c>
      <c r="I19" s="796">
        <v>105.39553502111302</v>
      </c>
      <c r="J19" s="262"/>
    </row>
    <row r="20" spans="1:10" ht="18" customHeight="1">
      <c r="A20" s="780" t="s">
        <v>57</v>
      </c>
      <c r="B20" s="792">
        <v>270</v>
      </c>
      <c r="C20" s="797">
        <v>13440</v>
      </c>
      <c r="D20" s="800">
        <v>0</v>
      </c>
      <c r="E20" s="794">
        <v>0</v>
      </c>
      <c r="F20" s="793">
        <v>270</v>
      </c>
      <c r="G20" s="797">
        <v>13440</v>
      </c>
      <c r="H20" s="795" t="s">
        <v>1701</v>
      </c>
      <c r="I20" s="796">
        <v>121.95</v>
      </c>
      <c r="J20" s="262"/>
    </row>
    <row r="21" spans="1:10" ht="18" customHeight="1">
      <c r="A21" s="780" t="s">
        <v>205</v>
      </c>
      <c r="B21" s="792">
        <v>60</v>
      </c>
      <c r="C21" s="797">
        <v>2991</v>
      </c>
      <c r="D21" s="800">
        <v>0</v>
      </c>
      <c r="E21" s="794">
        <v>0</v>
      </c>
      <c r="F21" s="793">
        <v>60</v>
      </c>
      <c r="G21" s="797">
        <v>2991</v>
      </c>
      <c r="H21" s="795" t="s">
        <v>1702</v>
      </c>
      <c r="I21" s="796">
        <v>100.84</v>
      </c>
      <c r="J21" s="262"/>
    </row>
    <row r="22" spans="1:10" ht="18" customHeight="1">
      <c r="A22" s="780" t="s">
        <v>174</v>
      </c>
      <c r="B22" s="792">
        <v>30</v>
      </c>
      <c r="C22" s="797">
        <v>1497</v>
      </c>
      <c r="D22" s="800">
        <v>0</v>
      </c>
      <c r="E22" s="794">
        <v>0</v>
      </c>
      <c r="F22" s="793">
        <v>30</v>
      </c>
      <c r="G22" s="797">
        <v>1497</v>
      </c>
      <c r="H22" s="795" t="s">
        <v>1703</v>
      </c>
      <c r="I22" s="796">
        <v>82.66</v>
      </c>
      <c r="J22" s="262"/>
    </row>
    <row r="23" spans="1:10" ht="18" customHeight="1">
      <c r="A23" s="780" t="s">
        <v>176</v>
      </c>
      <c r="B23" s="792">
        <v>170</v>
      </c>
      <c r="C23" s="797">
        <v>8474.5</v>
      </c>
      <c r="D23" s="800">
        <v>262</v>
      </c>
      <c r="E23" s="794">
        <v>13057.6</v>
      </c>
      <c r="F23" s="793">
        <v>432</v>
      </c>
      <c r="G23" s="797">
        <v>21532.1</v>
      </c>
      <c r="H23" s="795" t="s">
        <v>1704</v>
      </c>
      <c r="I23" s="796">
        <v>141.27</v>
      </c>
      <c r="J23" s="262"/>
    </row>
    <row r="24" spans="1:10" ht="18" customHeight="1">
      <c r="A24" s="780" t="s">
        <v>475</v>
      </c>
      <c r="B24" s="792">
        <v>135</v>
      </c>
      <c r="C24" s="797">
        <v>6735</v>
      </c>
      <c r="D24" s="800">
        <v>0</v>
      </c>
      <c r="E24" s="794">
        <v>0</v>
      </c>
      <c r="F24" s="793">
        <v>135</v>
      </c>
      <c r="G24" s="797">
        <v>6735</v>
      </c>
      <c r="H24" s="795" t="s">
        <v>1705</v>
      </c>
      <c r="I24" s="796">
        <v>159.78</v>
      </c>
      <c r="J24" s="262"/>
    </row>
    <row r="25" spans="1:10" ht="18" customHeight="1">
      <c r="A25" s="780" t="s">
        <v>61</v>
      </c>
      <c r="B25" s="792">
        <v>20</v>
      </c>
      <c r="C25" s="797">
        <v>995.5</v>
      </c>
      <c r="D25" s="800">
        <v>0</v>
      </c>
      <c r="E25" s="794">
        <v>0</v>
      </c>
      <c r="F25" s="793">
        <v>20</v>
      </c>
      <c r="G25" s="797">
        <v>995.5</v>
      </c>
      <c r="H25" s="795" t="s">
        <v>1706</v>
      </c>
      <c r="I25" s="796">
        <v>103</v>
      </c>
      <c r="J25" s="262"/>
    </row>
    <row r="26" spans="1:10" ht="18" customHeight="1">
      <c r="A26" s="780" t="s">
        <v>63</v>
      </c>
      <c r="B26" s="792">
        <v>25</v>
      </c>
      <c r="C26" s="797">
        <v>1241</v>
      </c>
      <c r="D26" s="800">
        <v>0</v>
      </c>
      <c r="E26" s="794">
        <v>0</v>
      </c>
      <c r="F26" s="793">
        <v>25</v>
      </c>
      <c r="G26" s="797">
        <v>1241</v>
      </c>
      <c r="H26" s="795" t="s">
        <v>1707</v>
      </c>
      <c r="I26" s="796">
        <v>166.83</v>
      </c>
      <c r="J26" s="262"/>
    </row>
    <row r="27" spans="1:10" ht="18" customHeight="1">
      <c r="A27" s="780" t="s">
        <v>329</v>
      </c>
      <c r="B27" s="792">
        <v>9</v>
      </c>
      <c r="C27" s="797">
        <v>449.5</v>
      </c>
      <c r="D27" s="800">
        <v>0</v>
      </c>
      <c r="E27" s="794">
        <v>0</v>
      </c>
      <c r="F27" s="793">
        <v>9</v>
      </c>
      <c r="G27" s="797">
        <v>449.5</v>
      </c>
      <c r="H27" s="795">
        <v>98890</v>
      </c>
      <c r="I27" s="796">
        <v>220</v>
      </c>
      <c r="J27" s="262"/>
    </row>
    <row r="28" spans="1:10" ht="18" customHeight="1">
      <c r="A28" s="780" t="s">
        <v>136</v>
      </c>
      <c r="B28" s="792">
        <v>27</v>
      </c>
      <c r="C28" s="797">
        <v>1346.5</v>
      </c>
      <c r="D28" s="800">
        <v>0</v>
      </c>
      <c r="E28" s="794">
        <v>0</v>
      </c>
      <c r="F28" s="793">
        <v>27</v>
      </c>
      <c r="G28" s="797">
        <v>1346.5</v>
      </c>
      <c r="H28" s="795" t="s">
        <v>1708</v>
      </c>
      <c r="I28" s="796">
        <v>239.66</v>
      </c>
      <c r="J28" s="262"/>
    </row>
    <row r="29" spans="1:10" ht="18" customHeight="1">
      <c r="A29" s="780" t="s">
        <v>67</v>
      </c>
      <c r="B29" s="792">
        <v>80</v>
      </c>
      <c r="C29" s="797">
        <v>3989.5</v>
      </c>
      <c r="D29" s="800">
        <v>50</v>
      </c>
      <c r="E29" s="794">
        <v>2496</v>
      </c>
      <c r="F29" s="793">
        <v>130</v>
      </c>
      <c r="G29" s="797">
        <v>6485.5</v>
      </c>
      <c r="H29" s="795" t="s">
        <v>1709</v>
      </c>
      <c r="I29" s="796">
        <v>95.93</v>
      </c>
      <c r="J29" s="262"/>
    </row>
    <row r="30" spans="1:10" ht="18" customHeight="1">
      <c r="A30" s="780" t="s">
        <v>69</v>
      </c>
      <c r="B30" s="792">
        <v>311</v>
      </c>
      <c r="C30" s="797">
        <v>15497</v>
      </c>
      <c r="D30" s="800">
        <v>0</v>
      </c>
      <c r="E30" s="794">
        <v>0</v>
      </c>
      <c r="F30" s="793">
        <v>311</v>
      </c>
      <c r="G30" s="797">
        <v>15497</v>
      </c>
      <c r="H30" s="795">
        <v>1391526.5</v>
      </c>
      <c r="I30" s="796">
        <v>89.79328257082015</v>
      </c>
      <c r="J30" s="262"/>
    </row>
    <row r="31" spans="1:10" ht="18" customHeight="1">
      <c r="A31" s="780" t="s">
        <v>71</v>
      </c>
      <c r="B31" s="792">
        <v>835</v>
      </c>
      <c r="C31" s="797">
        <v>41642</v>
      </c>
      <c r="D31" s="800">
        <v>50</v>
      </c>
      <c r="E31" s="794">
        <v>2489.3</v>
      </c>
      <c r="F31" s="793">
        <v>885</v>
      </c>
      <c r="G31" s="797">
        <v>44131.3</v>
      </c>
      <c r="H31" s="795" t="s">
        <v>1710</v>
      </c>
      <c r="I31" s="796">
        <v>110.8</v>
      </c>
      <c r="J31" s="262"/>
    </row>
    <row r="32" spans="1:10" ht="18" customHeight="1">
      <c r="A32" s="780" t="s">
        <v>648</v>
      </c>
      <c r="B32" s="792">
        <v>20</v>
      </c>
      <c r="C32" s="797">
        <v>994</v>
      </c>
      <c r="D32" s="800">
        <v>0</v>
      </c>
      <c r="E32" s="794">
        <v>0</v>
      </c>
      <c r="F32" s="793">
        <v>20</v>
      </c>
      <c r="G32" s="797">
        <v>994</v>
      </c>
      <c r="H32" s="795">
        <v>79023</v>
      </c>
      <c r="I32" s="796">
        <v>79.5</v>
      </c>
      <c r="J32" s="262"/>
    </row>
    <row r="33" spans="1:10" ht="18" customHeight="1">
      <c r="A33" s="780" t="s">
        <v>75</v>
      </c>
      <c r="B33" s="792">
        <v>30</v>
      </c>
      <c r="C33" s="797">
        <v>1495.5</v>
      </c>
      <c r="D33" s="800">
        <v>0</v>
      </c>
      <c r="E33" s="794">
        <v>0</v>
      </c>
      <c r="F33" s="793">
        <v>30</v>
      </c>
      <c r="G33" s="797">
        <v>1495.5</v>
      </c>
      <c r="H33" s="795" t="s">
        <v>1712</v>
      </c>
      <c r="I33" s="796">
        <v>96</v>
      </c>
      <c r="J33" s="262"/>
    </row>
    <row r="34" spans="1:10" ht="18" customHeight="1">
      <c r="A34" s="780" t="s">
        <v>77</v>
      </c>
      <c r="B34" s="792">
        <v>50</v>
      </c>
      <c r="C34" s="797">
        <v>2491</v>
      </c>
      <c r="D34" s="800">
        <v>21</v>
      </c>
      <c r="E34" s="794">
        <v>1049.2</v>
      </c>
      <c r="F34" s="793">
        <v>71</v>
      </c>
      <c r="G34" s="797">
        <v>3540.2</v>
      </c>
      <c r="H34" s="795" t="s">
        <v>1713</v>
      </c>
      <c r="I34" s="796">
        <v>117.1</v>
      </c>
      <c r="J34" s="262"/>
    </row>
    <row r="35" spans="1:10" ht="18" customHeight="1">
      <c r="A35" s="780" t="s">
        <v>882</v>
      </c>
      <c r="B35" s="792">
        <v>60</v>
      </c>
      <c r="C35" s="797">
        <v>2986.5</v>
      </c>
      <c r="D35" s="800">
        <v>0</v>
      </c>
      <c r="E35" s="794">
        <v>0</v>
      </c>
      <c r="F35" s="793">
        <v>60</v>
      </c>
      <c r="G35" s="797">
        <v>2986.5</v>
      </c>
      <c r="H35" s="795" t="s">
        <v>1714</v>
      </c>
      <c r="I35" s="796">
        <v>97.8</v>
      </c>
      <c r="J35" s="262"/>
    </row>
    <row r="36" spans="1:10" ht="18" customHeight="1">
      <c r="A36" s="780" t="s">
        <v>146</v>
      </c>
      <c r="B36" s="41"/>
      <c r="C36" s="797">
        <v>0</v>
      </c>
      <c r="D36" s="800">
        <v>5</v>
      </c>
      <c r="E36" s="794">
        <v>249.5</v>
      </c>
      <c r="F36" s="793">
        <v>5</v>
      </c>
      <c r="G36" s="797">
        <v>249.5</v>
      </c>
      <c r="H36" s="795">
        <v>21207.5</v>
      </c>
      <c r="I36" s="796">
        <v>85</v>
      </c>
      <c r="J36" s="262"/>
    </row>
    <row r="37" spans="1:10" ht="18" customHeight="1">
      <c r="A37" s="780" t="s">
        <v>81</v>
      </c>
      <c r="B37" s="792">
        <v>20</v>
      </c>
      <c r="C37" s="797">
        <v>997</v>
      </c>
      <c r="D37" s="800">
        <v>0</v>
      </c>
      <c r="E37" s="794">
        <v>0</v>
      </c>
      <c r="F37" s="793">
        <v>20</v>
      </c>
      <c r="G37" s="797">
        <v>997</v>
      </c>
      <c r="H37" s="795" t="s">
        <v>1715</v>
      </c>
      <c r="I37" s="796">
        <v>112</v>
      </c>
      <c r="J37" s="262"/>
    </row>
    <row r="38" spans="1:10" ht="18" customHeight="1">
      <c r="A38" s="780" t="s">
        <v>83</v>
      </c>
      <c r="B38" s="792">
        <v>580</v>
      </c>
      <c r="C38" s="797">
        <v>28887.5</v>
      </c>
      <c r="D38" s="800">
        <v>55</v>
      </c>
      <c r="E38" s="794">
        <v>2742.3</v>
      </c>
      <c r="F38" s="793">
        <v>635</v>
      </c>
      <c r="G38" s="797">
        <v>31629.8</v>
      </c>
      <c r="H38" s="795" t="s">
        <v>1716</v>
      </c>
      <c r="I38" s="796">
        <v>108.94</v>
      </c>
      <c r="J38" s="262"/>
    </row>
    <row r="39" spans="1:10" ht="18" customHeight="1">
      <c r="A39" s="780" t="s">
        <v>85</v>
      </c>
      <c r="B39" s="792">
        <v>70</v>
      </c>
      <c r="C39" s="797">
        <v>3476</v>
      </c>
      <c r="D39" s="800">
        <v>0</v>
      </c>
      <c r="E39" s="794">
        <v>0</v>
      </c>
      <c r="F39" s="793">
        <v>70</v>
      </c>
      <c r="G39" s="797">
        <v>3476</v>
      </c>
      <c r="H39" s="795" t="s">
        <v>1717</v>
      </c>
      <c r="I39" s="796">
        <v>115.57</v>
      </c>
      <c r="J39" s="262"/>
    </row>
    <row r="40" spans="1:10" ht="18" customHeight="1">
      <c r="A40" s="780" t="s">
        <v>344</v>
      </c>
      <c r="B40" s="792">
        <v>21</v>
      </c>
      <c r="C40" s="797">
        <v>1018.5</v>
      </c>
      <c r="D40" s="800">
        <v>0</v>
      </c>
      <c r="E40" s="794">
        <v>0</v>
      </c>
      <c r="F40" s="793">
        <v>21</v>
      </c>
      <c r="G40" s="797">
        <v>1018.5</v>
      </c>
      <c r="H40" s="795" t="s">
        <v>1718</v>
      </c>
      <c r="I40" s="796">
        <v>128.72</v>
      </c>
      <c r="J40" s="262"/>
    </row>
    <row r="41" spans="1:10" ht="18" customHeight="1">
      <c r="A41" s="780" t="s">
        <v>150</v>
      </c>
      <c r="B41" s="41"/>
      <c r="C41" s="797">
        <v>0</v>
      </c>
      <c r="D41" s="800">
        <v>55</v>
      </c>
      <c r="E41" s="794">
        <v>2741.2</v>
      </c>
      <c r="F41" s="793">
        <v>55</v>
      </c>
      <c r="G41" s="797">
        <v>2741.2</v>
      </c>
      <c r="H41" s="795" t="s">
        <v>1719</v>
      </c>
      <c r="I41" s="796">
        <v>102.73</v>
      </c>
      <c r="J41" s="262"/>
    </row>
    <row r="42" spans="1:10" ht="18" customHeight="1">
      <c r="A42" s="780" t="s">
        <v>226</v>
      </c>
      <c r="B42" s="41"/>
      <c r="C42" s="797">
        <v>0</v>
      </c>
      <c r="D42" s="800">
        <v>70</v>
      </c>
      <c r="E42" s="794">
        <v>3491.2</v>
      </c>
      <c r="F42" s="793">
        <v>70</v>
      </c>
      <c r="G42" s="797">
        <v>3491.2</v>
      </c>
      <c r="H42" s="795" t="s">
        <v>1720</v>
      </c>
      <c r="I42" s="796">
        <v>138</v>
      </c>
      <c r="J42" s="262"/>
    </row>
    <row r="43" spans="1:10" ht="18" customHeight="1">
      <c r="A43" s="780" t="s">
        <v>92</v>
      </c>
      <c r="B43" s="792">
        <v>80</v>
      </c>
      <c r="C43" s="797">
        <v>3980.5</v>
      </c>
      <c r="D43" s="800">
        <v>36</v>
      </c>
      <c r="E43" s="794">
        <v>1796.6</v>
      </c>
      <c r="F43" s="793">
        <v>116</v>
      </c>
      <c r="G43" s="797">
        <v>5777.1</v>
      </c>
      <c r="H43" s="795">
        <v>609844.1</v>
      </c>
      <c r="I43" s="796">
        <v>105.56232365719823</v>
      </c>
      <c r="J43" s="262"/>
    </row>
    <row r="44" spans="1:10" ht="18" customHeight="1">
      <c r="A44" s="780" t="s">
        <v>229</v>
      </c>
      <c r="B44" s="792">
        <v>250</v>
      </c>
      <c r="C44" s="797">
        <v>12435</v>
      </c>
      <c r="D44" s="800">
        <v>0</v>
      </c>
      <c r="E44" s="794">
        <v>0</v>
      </c>
      <c r="F44" s="793">
        <v>250</v>
      </c>
      <c r="G44" s="797">
        <v>12435</v>
      </c>
      <c r="H44" s="795">
        <v>946769</v>
      </c>
      <c r="I44" s="796">
        <v>76.13743466023321</v>
      </c>
      <c r="J44" s="262"/>
    </row>
    <row r="45" spans="1:10" ht="18" customHeight="1">
      <c r="A45" s="780" t="s">
        <v>187</v>
      </c>
      <c r="B45" s="792">
        <v>80</v>
      </c>
      <c r="C45" s="797">
        <v>3982</v>
      </c>
      <c r="D45" s="800">
        <v>0</v>
      </c>
      <c r="E45" s="794">
        <v>0</v>
      </c>
      <c r="F45" s="793">
        <v>80</v>
      </c>
      <c r="G45" s="797">
        <v>3982</v>
      </c>
      <c r="H45" s="795">
        <v>380892</v>
      </c>
      <c r="I45" s="796">
        <v>95.65344048216977</v>
      </c>
      <c r="J45" s="262"/>
    </row>
    <row r="46" spans="1:10" ht="18" customHeight="1">
      <c r="A46" s="780" t="s">
        <v>190</v>
      </c>
      <c r="B46" s="792">
        <v>50</v>
      </c>
      <c r="C46" s="797">
        <v>2488</v>
      </c>
      <c r="D46" s="800">
        <v>0</v>
      </c>
      <c r="E46" s="794">
        <v>0</v>
      </c>
      <c r="F46" s="793">
        <v>50</v>
      </c>
      <c r="G46" s="797">
        <v>2488</v>
      </c>
      <c r="H46" s="795" t="s">
        <v>1721</v>
      </c>
      <c r="I46" s="796">
        <v>118.18</v>
      </c>
      <c r="J46" s="262"/>
    </row>
    <row r="47" spans="1:10" ht="18" customHeight="1">
      <c r="A47" s="780" t="s">
        <v>266</v>
      </c>
      <c r="B47" s="41"/>
      <c r="C47" s="797">
        <v>0</v>
      </c>
      <c r="D47" s="800">
        <v>175</v>
      </c>
      <c r="E47" s="794">
        <v>8730.8</v>
      </c>
      <c r="F47" s="793">
        <v>175</v>
      </c>
      <c r="G47" s="797">
        <v>8730.8</v>
      </c>
      <c r="H47" s="795" t="s">
        <v>1722</v>
      </c>
      <c r="I47" s="796">
        <v>95.51</v>
      </c>
      <c r="J47" s="262"/>
    </row>
    <row r="48" spans="1:10" ht="18" customHeight="1">
      <c r="A48" s="780" t="s">
        <v>96</v>
      </c>
      <c r="B48" s="792">
        <v>70</v>
      </c>
      <c r="C48" s="797">
        <v>3471.5</v>
      </c>
      <c r="D48" s="800">
        <v>0</v>
      </c>
      <c r="E48" s="794">
        <v>0</v>
      </c>
      <c r="F48" s="793">
        <v>70</v>
      </c>
      <c r="G48" s="797">
        <v>3471.5</v>
      </c>
      <c r="H48" s="795" t="s">
        <v>1723</v>
      </c>
      <c r="I48" s="796">
        <v>117.89</v>
      </c>
      <c r="J48" s="262"/>
    </row>
    <row r="49" spans="1:10" ht="18" customHeight="1">
      <c r="A49" s="780" t="s">
        <v>98</v>
      </c>
      <c r="B49" s="792">
        <v>180</v>
      </c>
      <c r="C49" s="797">
        <v>8956</v>
      </c>
      <c r="D49" s="800">
        <v>0</v>
      </c>
      <c r="E49" s="794">
        <v>0</v>
      </c>
      <c r="F49" s="793">
        <v>180</v>
      </c>
      <c r="G49" s="797">
        <v>8956</v>
      </c>
      <c r="H49" s="795">
        <v>961530</v>
      </c>
      <c r="I49" s="796">
        <v>107.36154533273783</v>
      </c>
      <c r="J49" s="262"/>
    </row>
    <row r="50" spans="1:10" ht="18" customHeight="1">
      <c r="A50" s="780" t="s">
        <v>99</v>
      </c>
      <c r="B50" s="41"/>
      <c r="C50" s="797">
        <v>0</v>
      </c>
      <c r="D50" s="800">
        <v>40</v>
      </c>
      <c r="E50" s="794">
        <v>1994.4</v>
      </c>
      <c r="F50" s="793">
        <v>40</v>
      </c>
      <c r="G50" s="797">
        <v>1994.4</v>
      </c>
      <c r="H50" s="795" t="s">
        <v>1724</v>
      </c>
      <c r="I50" s="796">
        <v>132.26</v>
      </c>
      <c r="J50" s="262"/>
    </row>
    <row r="51" spans="1:10" ht="18" customHeight="1">
      <c r="A51" s="780" t="s">
        <v>1340</v>
      </c>
      <c r="B51" s="792">
        <v>15</v>
      </c>
      <c r="C51" s="797">
        <v>747</v>
      </c>
      <c r="D51" s="800">
        <v>0</v>
      </c>
      <c r="E51" s="794">
        <v>0</v>
      </c>
      <c r="F51" s="793">
        <v>15</v>
      </c>
      <c r="G51" s="797">
        <v>747</v>
      </c>
      <c r="H51" s="795">
        <v>67230</v>
      </c>
      <c r="I51" s="796">
        <v>90</v>
      </c>
      <c r="J51" s="262"/>
    </row>
    <row r="52" spans="1:10" ht="18" customHeight="1">
      <c r="A52" s="780" t="s">
        <v>101</v>
      </c>
      <c r="B52" s="803">
        <v>120</v>
      </c>
      <c r="C52" s="804">
        <v>5979</v>
      </c>
      <c r="D52" s="805">
        <v>0</v>
      </c>
      <c r="E52" s="806">
        <v>0</v>
      </c>
      <c r="F52" s="807">
        <v>120</v>
      </c>
      <c r="G52" s="804">
        <v>5979</v>
      </c>
      <c r="H52" s="808" t="s">
        <v>1725</v>
      </c>
      <c r="I52" s="809">
        <v>114.85</v>
      </c>
      <c r="J52" s="262"/>
    </row>
    <row r="53" spans="1:10" ht="18" customHeight="1">
      <c r="A53" s="780" t="s">
        <v>14</v>
      </c>
      <c r="B53" s="803">
        <v>4733</v>
      </c>
      <c r="C53" s="804">
        <v>235695</v>
      </c>
      <c r="D53" s="805">
        <v>1249</v>
      </c>
      <c r="E53" s="806">
        <v>62288.5</v>
      </c>
      <c r="F53" s="807">
        <v>5982</v>
      </c>
      <c r="G53" s="804">
        <v>297983.5</v>
      </c>
      <c r="H53" s="808">
        <v>33228696</v>
      </c>
      <c r="I53" s="809">
        <f>H53/G53</f>
        <v>111.51186558987327</v>
      </c>
      <c r="J53" s="262"/>
    </row>
    <row r="54" spans="1:10" ht="18" customHeight="1">
      <c r="A54" s="780" t="s">
        <v>17</v>
      </c>
      <c r="B54" s="810">
        <v>4853</v>
      </c>
      <c r="C54" s="804" t="s">
        <v>1727</v>
      </c>
      <c r="D54" s="805">
        <v>1249</v>
      </c>
      <c r="E54" s="806">
        <v>62288.5</v>
      </c>
      <c r="F54" s="807">
        <v>6102</v>
      </c>
      <c r="G54" s="804" t="s">
        <v>1728</v>
      </c>
      <c r="H54" s="808" t="s">
        <v>1729</v>
      </c>
      <c r="I54" s="809">
        <v>110.93</v>
      </c>
      <c r="J54" s="262"/>
    </row>
    <row r="55" spans="1:9" ht="18" customHeight="1">
      <c r="A55" s="711"/>
      <c r="B55" s="695"/>
      <c r="C55" s="697"/>
      <c r="D55" s="695"/>
      <c r="E55" s="697"/>
      <c r="F55" s="695"/>
      <c r="G55" s="697"/>
      <c r="H55" s="707"/>
      <c r="I55" s="707"/>
    </row>
    <row r="56" spans="1:9" ht="18" customHeight="1">
      <c r="A56" s="699"/>
      <c r="B56" s="709"/>
      <c r="C56" s="696"/>
      <c r="D56" s="708"/>
      <c r="E56" s="710"/>
      <c r="F56" s="709"/>
      <c r="G56" s="696"/>
      <c r="H56" s="698"/>
      <c r="I56" s="698" t="s">
        <v>119</v>
      </c>
    </row>
    <row r="57" spans="1:9" ht="18" customHeight="1">
      <c r="A57" s="699"/>
      <c r="B57" s="709"/>
      <c r="C57" s="696"/>
      <c r="D57" s="708"/>
      <c r="E57" s="710"/>
      <c r="F57" s="709"/>
      <c r="G57" s="696"/>
      <c r="H57" s="698"/>
      <c r="I57" s="713" t="s">
        <v>121</v>
      </c>
    </row>
    <row r="58" spans="1:9" ht="18" customHeight="1">
      <c r="A58" s="683" t="s">
        <v>117</v>
      </c>
      <c r="B58" s="709"/>
      <c r="C58" s="696"/>
      <c r="D58" s="708"/>
      <c r="E58" s="710"/>
      <c r="F58" s="709"/>
      <c r="G58" s="696"/>
      <c r="H58" s="698"/>
      <c r="I58" s="698"/>
    </row>
    <row r="59" spans="1:9" ht="18" customHeight="1">
      <c r="A59" s="683" t="s">
        <v>118</v>
      </c>
      <c r="B59" s="709"/>
      <c r="C59" s="696"/>
      <c r="D59" s="708"/>
      <c r="E59" s="710"/>
      <c r="F59" s="709"/>
      <c r="G59" s="696"/>
      <c r="H59" s="698"/>
      <c r="I59" s="698"/>
    </row>
    <row r="60" spans="1:9" ht="18" customHeight="1">
      <c r="A60" s="683" t="s">
        <v>120</v>
      </c>
      <c r="B60" s="709"/>
      <c r="C60" s="696"/>
      <c r="D60" s="708"/>
      <c r="E60" s="710"/>
      <c r="F60" s="709"/>
      <c r="G60" s="696"/>
      <c r="H60" s="698"/>
      <c r="I60" s="698"/>
    </row>
    <row r="61" spans="1:9" ht="18" customHeight="1">
      <c r="A61" s="683" t="s">
        <v>122</v>
      </c>
      <c r="B61" s="709"/>
      <c r="C61" s="696"/>
      <c r="D61" s="708"/>
      <c r="E61" s="710"/>
      <c r="F61" s="709"/>
      <c r="G61" s="696"/>
      <c r="H61" s="698"/>
      <c r="I61" s="698"/>
    </row>
    <row r="62" spans="1:9" ht="18" customHeight="1">
      <c r="A62" s="683" t="s">
        <v>123</v>
      </c>
      <c r="B62" s="709"/>
      <c r="C62" s="696"/>
      <c r="D62" s="708"/>
      <c r="E62" s="710"/>
      <c r="F62" s="709"/>
      <c r="G62" s="696"/>
      <c r="H62" s="698"/>
      <c r="I62" s="698"/>
    </row>
    <row r="63" spans="1:9" ht="18" customHeight="1">
      <c r="A63" s="274"/>
      <c r="B63" s="289"/>
      <c r="C63" s="276"/>
      <c r="D63" s="285"/>
      <c r="E63" s="290"/>
      <c r="F63" s="289"/>
      <c r="G63" s="276"/>
      <c r="H63" s="278"/>
      <c r="I63" s="278"/>
    </row>
    <row r="64" spans="1:9" ht="12.75" customHeight="1">
      <c r="A64" s="274"/>
      <c r="B64" s="289"/>
      <c r="C64" s="276"/>
      <c r="D64" s="285"/>
      <c r="E64" s="290"/>
      <c r="F64" s="289"/>
      <c r="G64" s="276"/>
      <c r="H64" s="278"/>
      <c r="I64" s="278"/>
    </row>
    <row r="65" spans="1:9" ht="12.75" customHeight="1">
      <c r="A65" s="509"/>
      <c r="B65" s="512"/>
      <c r="C65" s="510"/>
      <c r="D65" s="801"/>
      <c r="E65" s="513"/>
      <c r="F65" s="512"/>
      <c r="G65" s="510"/>
      <c r="H65" s="511"/>
      <c r="I65" s="511"/>
    </row>
    <row r="66" spans="1:9" ht="12.75" customHeight="1">
      <c r="A66" s="509"/>
      <c r="B66" s="512"/>
      <c r="C66" s="510"/>
      <c r="D66" s="801"/>
      <c r="E66" s="513"/>
      <c r="F66" s="512"/>
      <c r="G66" s="510"/>
      <c r="H66" s="511"/>
      <c r="I66" s="511"/>
    </row>
    <row r="67" spans="1:9" ht="12.75" customHeight="1">
      <c r="A67" s="509"/>
      <c r="B67" s="512"/>
      <c r="C67" s="510"/>
      <c r="D67" s="801"/>
      <c r="E67" s="513"/>
      <c r="F67" s="512"/>
      <c r="G67" s="510"/>
      <c r="H67" s="511"/>
      <c r="I67" s="511"/>
    </row>
    <row r="68" spans="1:9" ht="12.75" customHeight="1">
      <c r="A68" s="509"/>
      <c r="B68" s="512"/>
      <c r="C68" s="510"/>
      <c r="D68" s="801"/>
      <c r="E68" s="513"/>
      <c r="F68" s="512"/>
      <c r="G68" s="510"/>
      <c r="H68" s="511"/>
      <c r="I68" s="511"/>
    </row>
    <row r="69" spans="1:9" ht="12.75" customHeight="1">
      <c r="A69" s="509"/>
      <c r="B69" s="512"/>
      <c r="C69" s="510"/>
      <c r="D69" s="801"/>
      <c r="E69" s="513"/>
      <c r="F69" s="512"/>
      <c r="G69" s="510"/>
      <c r="H69" s="511"/>
      <c r="I69" s="511"/>
    </row>
    <row r="70" spans="1:9" ht="12.75" customHeight="1">
      <c r="A70" s="509"/>
      <c r="B70" s="512"/>
      <c r="C70" s="510"/>
      <c r="D70" s="801"/>
      <c r="E70" s="513"/>
      <c r="F70" s="512"/>
      <c r="G70" s="510"/>
      <c r="H70" s="511"/>
      <c r="I70" s="511"/>
    </row>
    <row r="71" spans="1:9" ht="12.75" customHeight="1">
      <c r="A71" s="509"/>
      <c r="B71" s="512"/>
      <c r="C71" s="510"/>
      <c r="D71" s="801"/>
      <c r="E71" s="513"/>
      <c r="F71" s="512"/>
      <c r="G71" s="510"/>
      <c r="H71" s="511"/>
      <c r="I71" s="511"/>
    </row>
    <row r="72" spans="1:9" ht="12.75" customHeight="1">
      <c r="A72" s="509"/>
      <c r="B72" s="512"/>
      <c r="C72" s="510"/>
      <c r="D72" s="801"/>
      <c r="E72" s="513"/>
      <c r="F72" s="512"/>
      <c r="G72" s="510"/>
      <c r="H72" s="511"/>
      <c r="I72" s="511"/>
    </row>
    <row r="73" spans="1:9" ht="12.75" customHeight="1">
      <c r="A73" s="509"/>
      <c r="B73" s="512"/>
      <c r="C73" s="510"/>
      <c r="D73" s="801"/>
      <c r="E73" s="513"/>
      <c r="F73" s="512"/>
      <c r="G73" s="510"/>
      <c r="H73" s="511"/>
      <c r="I73" s="511"/>
    </row>
    <row r="74" spans="1:9" ht="12.75" customHeight="1">
      <c r="A74" s="509"/>
      <c r="B74" s="512"/>
      <c r="C74" s="510"/>
      <c r="D74" s="801"/>
      <c r="E74" s="513"/>
      <c r="F74" s="512"/>
      <c r="G74" s="510"/>
      <c r="H74" s="511"/>
      <c r="I74" s="511"/>
    </row>
    <row r="75" spans="1:9" ht="12.75" customHeight="1">
      <c r="A75" s="509"/>
      <c r="B75" s="512"/>
      <c r="C75" s="510"/>
      <c r="D75" s="801"/>
      <c r="E75" s="513"/>
      <c r="F75" s="512"/>
      <c r="G75" s="510"/>
      <c r="H75" s="511"/>
      <c r="I75" s="511"/>
    </row>
    <row r="76" spans="1:9" ht="12.75" customHeight="1">
      <c r="A76" s="509"/>
      <c r="B76" s="512"/>
      <c r="C76" s="510"/>
      <c r="D76" s="801"/>
      <c r="E76" s="513"/>
      <c r="F76" s="512"/>
      <c r="G76" s="510"/>
      <c r="H76" s="511"/>
      <c r="I76" s="511"/>
    </row>
    <row r="77" spans="1:9" ht="12.75" customHeight="1">
      <c r="A77" s="509"/>
      <c r="B77" s="512"/>
      <c r="C77" s="510"/>
      <c r="D77" s="801"/>
      <c r="E77" s="513"/>
      <c r="F77" s="512"/>
      <c r="G77" s="510"/>
      <c r="H77" s="511"/>
      <c r="I77" s="511"/>
    </row>
    <row r="78" spans="1:9" ht="12.75" customHeight="1">
      <c r="A78" s="509"/>
      <c r="B78" s="512"/>
      <c r="C78" s="510"/>
      <c r="D78" s="801"/>
      <c r="E78" s="513"/>
      <c r="F78" s="512"/>
      <c r="G78" s="510"/>
      <c r="H78" s="511"/>
      <c r="I78" s="511"/>
    </row>
    <row r="79" spans="1:9" ht="12.75" customHeight="1">
      <c r="A79" s="509"/>
      <c r="B79" s="512"/>
      <c r="C79" s="510"/>
      <c r="D79" s="801"/>
      <c r="E79" s="513"/>
      <c r="F79" s="512"/>
      <c r="G79" s="510"/>
      <c r="H79" s="511"/>
      <c r="I79" s="511"/>
    </row>
  </sheetData>
  <sheetProtection/>
  <printOptions/>
  <pageMargins left="0.7" right="0.29" top="1.33" bottom="0.5" header="0.3" footer="0.3"/>
  <pageSetup horizontalDpi="600" verticalDpi="600" orientation="portrait" scale="85" r:id="rId1"/>
  <headerFooter>
    <oddHeader>&amp;L&amp;D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0.140625" style="365" customWidth="1"/>
    <col min="2" max="2" width="7.140625" style="31" customWidth="1"/>
    <col min="3" max="3" width="10.28125" style="360" customWidth="1"/>
    <col min="4" max="4" width="7.7109375" style="31" customWidth="1"/>
    <col min="5" max="5" width="9.421875" style="244" customWidth="1"/>
    <col min="6" max="6" width="7.7109375" style="31" customWidth="1"/>
    <col min="7" max="7" width="11.421875" style="360" bestFit="1" customWidth="1"/>
    <col min="8" max="8" width="14.140625" style="48" bestFit="1" customWidth="1"/>
    <col min="9" max="9" width="8.8515625" style="48" customWidth="1"/>
    <col min="10" max="16384" width="8.8515625" style="365" customWidth="1"/>
  </cols>
  <sheetData>
    <row r="1" spans="1:11" ht="14.25" customHeight="1">
      <c r="A1" s="329" t="s">
        <v>682</v>
      </c>
      <c r="B1" s="330"/>
      <c r="C1" s="331"/>
      <c r="D1" s="330"/>
      <c r="E1" s="332"/>
      <c r="F1" s="330"/>
      <c r="G1" s="331"/>
      <c r="H1" s="333"/>
      <c r="I1" s="333"/>
      <c r="J1" s="262"/>
      <c r="K1" s="262"/>
    </row>
    <row r="2" spans="1:11" ht="14.25" customHeight="1">
      <c r="A2" s="329" t="s">
        <v>683</v>
      </c>
      <c r="B2" s="330"/>
      <c r="C2" s="331"/>
      <c r="D2" s="330"/>
      <c r="E2" s="332"/>
      <c r="F2" s="330"/>
      <c r="G2" s="331"/>
      <c r="H2" s="333"/>
      <c r="I2" s="333"/>
      <c r="J2" s="262"/>
      <c r="K2" s="262"/>
    </row>
    <row r="3" spans="1:11" ht="14.25" customHeight="1">
      <c r="A3" s="329" t="s">
        <v>110</v>
      </c>
      <c r="B3" s="330"/>
      <c r="C3" s="331"/>
      <c r="D3" s="330"/>
      <c r="E3" s="332"/>
      <c r="F3" s="330"/>
      <c r="G3" s="331"/>
      <c r="H3" s="333"/>
      <c r="I3" s="333"/>
      <c r="J3" s="262"/>
      <c r="K3" s="262"/>
    </row>
    <row r="4" spans="1:11" ht="14.25" customHeight="1">
      <c r="A4" s="329" t="s">
        <v>5</v>
      </c>
      <c r="B4" s="330"/>
      <c r="C4" s="331"/>
      <c r="D4" s="330"/>
      <c r="E4" s="332"/>
      <c r="F4" s="330"/>
      <c r="G4" s="331"/>
      <c r="H4" s="333"/>
      <c r="I4" s="333"/>
      <c r="J4" s="262"/>
      <c r="K4" s="262"/>
    </row>
    <row r="5" spans="1:11" ht="14.25" customHeight="1">
      <c r="A5" s="329" t="s">
        <v>6</v>
      </c>
      <c r="B5" s="330"/>
      <c r="C5" s="331"/>
      <c r="D5" s="330"/>
      <c r="E5" s="334"/>
      <c r="F5" s="330"/>
      <c r="G5" s="331"/>
      <c r="H5" s="333"/>
      <c r="I5" s="333"/>
      <c r="J5" s="262"/>
      <c r="K5" s="262"/>
    </row>
    <row r="6" spans="1:11" ht="14.25" customHeight="1">
      <c r="A6" s="329" t="s">
        <v>111</v>
      </c>
      <c r="B6" s="330"/>
      <c r="C6" s="331"/>
      <c r="D6" s="330"/>
      <c r="E6" s="332"/>
      <c r="F6" s="330"/>
      <c r="G6" s="331"/>
      <c r="H6" s="333"/>
      <c r="I6" s="333"/>
      <c r="J6" s="262"/>
      <c r="K6" s="262"/>
    </row>
    <row r="7" spans="1:11" ht="14.25" customHeight="1">
      <c r="A7" s="329" t="s">
        <v>112</v>
      </c>
      <c r="B7" s="330"/>
      <c r="C7" s="331"/>
      <c r="D7" s="330"/>
      <c r="E7" s="335" t="s">
        <v>113</v>
      </c>
      <c r="F7" s="330"/>
      <c r="G7" s="331"/>
      <c r="H7" s="333"/>
      <c r="I7" s="333"/>
      <c r="J7" s="262"/>
      <c r="K7" s="262"/>
    </row>
    <row r="8" spans="1:11" ht="14.25" customHeight="1">
      <c r="A8" s="336" t="s">
        <v>684</v>
      </c>
      <c r="B8" s="337"/>
      <c r="C8" s="338"/>
      <c r="D8" s="337"/>
      <c r="E8" s="339"/>
      <c r="F8" s="337"/>
      <c r="G8" s="338"/>
      <c r="H8" s="340"/>
      <c r="I8" s="340"/>
      <c r="J8" s="262"/>
      <c r="K8" s="262"/>
    </row>
    <row r="9" spans="1:11" ht="14.25" customHeight="1">
      <c r="A9" s="114"/>
      <c r="B9" s="341" t="s">
        <v>45</v>
      </c>
      <c r="C9" s="342"/>
      <c r="D9" s="341" t="s">
        <v>46</v>
      </c>
      <c r="E9" s="342"/>
      <c r="F9" s="341"/>
      <c r="G9" s="343" t="s">
        <v>47</v>
      </c>
      <c r="H9" s="118"/>
      <c r="I9" s="118"/>
      <c r="J9" s="262"/>
      <c r="K9" s="262"/>
    </row>
    <row r="10" spans="1:11" ht="14.25" customHeight="1">
      <c r="A10" s="344" t="s">
        <v>461</v>
      </c>
      <c r="B10" s="345" t="s">
        <v>49</v>
      </c>
      <c r="C10" s="346" t="s">
        <v>50</v>
      </c>
      <c r="D10" s="345" t="s">
        <v>49</v>
      </c>
      <c r="E10" s="346" t="s">
        <v>50</v>
      </c>
      <c r="F10" s="345" t="s">
        <v>49</v>
      </c>
      <c r="G10" s="346" t="s">
        <v>50</v>
      </c>
      <c r="H10" s="347" t="s">
        <v>51</v>
      </c>
      <c r="I10" s="347" t="s">
        <v>52</v>
      </c>
      <c r="J10" s="262"/>
      <c r="K10" s="262"/>
    </row>
    <row r="11" spans="1:11" ht="14.25" customHeight="1">
      <c r="A11" s="119" t="s">
        <v>466</v>
      </c>
      <c r="B11" s="348"/>
      <c r="C11" s="343">
        <v>0</v>
      </c>
      <c r="D11" s="115"/>
      <c r="E11" s="121"/>
      <c r="F11" s="115"/>
      <c r="G11" s="343"/>
      <c r="H11" s="122"/>
      <c r="I11" s="350"/>
      <c r="J11" s="262"/>
      <c r="K11" s="262"/>
    </row>
    <row r="12" spans="1:11" ht="14.25" customHeight="1">
      <c r="A12" s="114" t="s">
        <v>14</v>
      </c>
      <c r="B12" s="122">
        <f aca="true" t="shared" si="0" ref="B12:H12">SUM(B11)</f>
        <v>0</v>
      </c>
      <c r="C12" s="343">
        <f t="shared" si="0"/>
        <v>0</v>
      </c>
      <c r="D12" s="341">
        <f t="shared" si="0"/>
        <v>0</v>
      </c>
      <c r="E12" s="343">
        <f t="shared" si="0"/>
        <v>0</v>
      </c>
      <c r="F12" s="341">
        <f t="shared" si="0"/>
        <v>0</v>
      </c>
      <c r="G12" s="343">
        <f t="shared" si="0"/>
        <v>0</v>
      </c>
      <c r="H12" s="122">
        <f t="shared" si="0"/>
        <v>0</v>
      </c>
      <c r="I12" s="122" t="e">
        <f>H12/G12</f>
        <v>#DIV/0!</v>
      </c>
      <c r="J12" s="262"/>
      <c r="K12" s="262"/>
    </row>
    <row r="13" spans="1:11" ht="14.25" customHeight="1">
      <c r="A13" s="344" t="s">
        <v>462</v>
      </c>
      <c r="B13" s="345" t="s">
        <v>49</v>
      </c>
      <c r="C13" s="346" t="s">
        <v>50</v>
      </c>
      <c r="D13" s="345" t="s">
        <v>49</v>
      </c>
      <c r="E13" s="346" t="s">
        <v>50</v>
      </c>
      <c r="F13" s="345" t="s">
        <v>49</v>
      </c>
      <c r="G13" s="346" t="s">
        <v>50</v>
      </c>
      <c r="H13" s="347" t="s">
        <v>51</v>
      </c>
      <c r="I13" s="347" t="s">
        <v>52</v>
      </c>
      <c r="J13" s="262"/>
      <c r="K13" s="262"/>
    </row>
    <row r="14" spans="1:11" ht="14.25" customHeight="1">
      <c r="A14" s="119" t="s">
        <v>53</v>
      </c>
      <c r="B14" s="362">
        <v>552</v>
      </c>
      <c r="C14" s="343">
        <v>27540</v>
      </c>
      <c r="D14" s="362">
        <v>55</v>
      </c>
      <c r="E14" s="121">
        <v>2745.3</v>
      </c>
      <c r="F14" s="362">
        <v>607</v>
      </c>
      <c r="G14" s="121">
        <v>30285.3</v>
      </c>
      <c r="H14" s="122" t="s">
        <v>685</v>
      </c>
      <c r="I14" s="122">
        <v>207.42</v>
      </c>
      <c r="J14" s="262"/>
      <c r="K14" s="262"/>
    </row>
    <row r="15" spans="1:11" ht="14.25" customHeight="1">
      <c r="A15" s="119" t="s">
        <v>128</v>
      </c>
      <c r="B15" s="362">
        <v>20</v>
      </c>
      <c r="C15" s="343">
        <v>997</v>
      </c>
      <c r="D15" s="362">
        <v>35</v>
      </c>
      <c r="E15" s="121">
        <v>1747.9</v>
      </c>
      <c r="F15" s="362">
        <v>55</v>
      </c>
      <c r="G15" s="121">
        <v>2744.9</v>
      </c>
      <c r="H15" s="122" t="s">
        <v>686</v>
      </c>
      <c r="I15" s="122">
        <v>164.51</v>
      </c>
      <c r="J15" s="262"/>
      <c r="K15" s="262"/>
    </row>
    <row r="16" spans="1:11" ht="14.25" customHeight="1">
      <c r="A16" s="119" t="s">
        <v>57</v>
      </c>
      <c r="B16" s="362">
        <v>60</v>
      </c>
      <c r="C16" s="343">
        <v>2989.5</v>
      </c>
      <c r="D16" s="362">
        <v>0</v>
      </c>
      <c r="E16" s="121">
        <v>0</v>
      </c>
      <c r="F16" s="362">
        <v>60</v>
      </c>
      <c r="G16" s="121">
        <v>2989.5</v>
      </c>
      <c r="H16" s="122" t="s">
        <v>687</v>
      </c>
      <c r="I16" s="122">
        <v>187.36</v>
      </c>
      <c r="J16" s="262"/>
      <c r="K16" s="262"/>
    </row>
    <row r="17" spans="1:11" ht="14.25" customHeight="1">
      <c r="A17" s="119" t="s">
        <v>475</v>
      </c>
      <c r="B17" s="362">
        <v>145</v>
      </c>
      <c r="C17" s="343">
        <v>7229</v>
      </c>
      <c r="D17" s="362">
        <v>0</v>
      </c>
      <c r="E17" s="121">
        <v>0</v>
      </c>
      <c r="F17" s="362">
        <v>145</v>
      </c>
      <c r="G17" s="121">
        <v>7229</v>
      </c>
      <c r="H17" s="122" t="s">
        <v>688</v>
      </c>
      <c r="I17" s="122">
        <v>203.97</v>
      </c>
      <c r="J17" s="262"/>
      <c r="K17" s="262"/>
    </row>
    <row r="18" spans="1:11" ht="14.25" customHeight="1">
      <c r="A18" s="119" t="s">
        <v>61</v>
      </c>
      <c r="B18" s="362">
        <v>50</v>
      </c>
      <c r="C18" s="343">
        <v>2495.5</v>
      </c>
      <c r="D18" s="362">
        <v>0</v>
      </c>
      <c r="E18" s="121">
        <v>0</v>
      </c>
      <c r="F18" s="362">
        <v>50</v>
      </c>
      <c r="G18" s="121">
        <v>2495.5</v>
      </c>
      <c r="H18" s="122" t="s">
        <v>689</v>
      </c>
      <c r="I18" s="122">
        <v>149.66</v>
      </c>
      <c r="J18" s="262"/>
      <c r="K18" s="262"/>
    </row>
    <row r="19" spans="1:11" ht="14.25" customHeight="1">
      <c r="A19" s="119" t="s">
        <v>63</v>
      </c>
      <c r="B19" s="362">
        <v>53</v>
      </c>
      <c r="C19" s="343">
        <v>2599.5</v>
      </c>
      <c r="D19" s="362">
        <v>20</v>
      </c>
      <c r="E19" s="121">
        <v>998.2</v>
      </c>
      <c r="F19" s="362">
        <v>73</v>
      </c>
      <c r="G19" s="121">
        <v>3597.7</v>
      </c>
      <c r="H19" s="122" t="s">
        <v>690</v>
      </c>
      <c r="I19" s="122">
        <v>183.73</v>
      </c>
      <c r="J19" s="262"/>
      <c r="K19" s="262"/>
    </row>
    <row r="20" spans="1:11" ht="14.25" customHeight="1">
      <c r="A20" s="119" t="s">
        <v>136</v>
      </c>
      <c r="B20" s="362">
        <v>22</v>
      </c>
      <c r="C20" s="343">
        <v>1098.5</v>
      </c>
      <c r="D20" s="362">
        <v>0</v>
      </c>
      <c r="E20" s="121">
        <v>0</v>
      </c>
      <c r="F20" s="362">
        <v>22</v>
      </c>
      <c r="G20" s="121">
        <v>1098.5</v>
      </c>
      <c r="H20" s="122" t="s">
        <v>691</v>
      </c>
      <c r="I20" s="122">
        <v>300</v>
      </c>
      <c r="J20" s="262"/>
      <c r="K20" s="262"/>
    </row>
    <row r="21" spans="1:11" ht="14.25" customHeight="1">
      <c r="A21" s="119" t="s">
        <v>67</v>
      </c>
      <c r="B21" s="362">
        <v>10</v>
      </c>
      <c r="C21" s="343">
        <v>500</v>
      </c>
      <c r="D21" s="362">
        <v>50</v>
      </c>
      <c r="E21" s="121">
        <v>2496</v>
      </c>
      <c r="F21" s="362">
        <v>60</v>
      </c>
      <c r="G21" s="121">
        <v>2996</v>
      </c>
      <c r="H21" s="122" t="s">
        <v>692</v>
      </c>
      <c r="I21" s="122">
        <v>180</v>
      </c>
      <c r="J21" s="262"/>
      <c r="K21" s="262"/>
    </row>
    <row r="22" spans="1:11" ht="14.25" customHeight="1">
      <c r="A22" s="119" t="s">
        <v>71</v>
      </c>
      <c r="B22" s="362">
        <v>705</v>
      </c>
      <c r="C22" s="343">
        <v>35181</v>
      </c>
      <c r="D22" s="362">
        <v>125</v>
      </c>
      <c r="E22" s="121">
        <v>6239.6</v>
      </c>
      <c r="F22" s="362">
        <v>830</v>
      </c>
      <c r="G22" s="121">
        <v>41420.6</v>
      </c>
      <c r="H22" s="122" t="s">
        <v>693</v>
      </c>
      <c r="I22" s="122">
        <v>192.28</v>
      </c>
      <c r="J22" s="262"/>
      <c r="K22" s="262"/>
    </row>
    <row r="23" spans="1:11" ht="14.25" customHeight="1">
      <c r="A23" s="119" t="s">
        <v>141</v>
      </c>
      <c r="B23" s="114"/>
      <c r="C23" s="343">
        <v>0</v>
      </c>
      <c r="D23" s="362">
        <v>20</v>
      </c>
      <c r="E23" s="121">
        <v>997.9</v>
      </c>
      <c r="F23" s="362">
        <v>20</v>
      </c>
      <c r="G23" s="121">
        <v>997.9</v>
      </c>
      <c r="H23" s="122" t="s">
        <v>694</v>
      </c>
      <c r="I23" s="122">
        <v>157.74</v>
      </c>
      <c r="J23" s="262"/>
      <c r="K23" s="262"/>
    </row>
    <row r="24" spans="1:11" ht="14.25" customHeight="1">
      <c r="A24" s="119" t="s">
        <v>75</v>
      </c>
      <c r="B24" s="362">
        <v>36</v>
      </c>
      <c r="C24" s="343">
        <v>1797</v>
      </c>
      <c r="D24" s="362">
        <v>12</v>
      </c>
      <c r="E24" s="121">
        <v>599</v>
      </c>
      <c r="F24" s="362">
        <v>48</v>
      </c>
      <c r="G24" s="121">
        <v>2396</v>
      </c>
      <c r="H24" s="122" t="s">
        <v>695</v>
      </c>
      <c r="I24" s="122">
        <v>194.73</v>
      </c>
      <c r="J24" s="262"/>
      <c r="K24" s="262"/>
    </row>
    <row r="25" spans="1:11" ht="14.25" customHeight="1">
      <c r="A25" s="119" t="s">
        <v>77</v>
      </c>
      <c r="B25" s="362">
        <v>30</v>
      </c>
      <c r="C25" s="343">
        <v>1494</v>
      </c>
      <c r="D25" s="362">
        <v>37</v>
      </c>
      <c r="E25" s="121">
        <v>1846.7</v>
      </c>
      <c r="F25" s="362">
        <v>67</v>
      </c>
      <c r="G25" s="121">
        <v>3340.7</v>
      </c>
      <c r="H25" s="122" t="s">
        <v>696</v>
      </c>
      <c r="I25" s="122">
        <v>170.77</v>
      </c>
      <c r="J25" s="262"/>
      <c r="K25" s="262"/>
    </row>
    <row r="26" spans="1:11" ht="14.25" customHeight="1">
      <c r="A26" s="119" t="s">
        <v>144</v>
      </c>
      <c r="B26" s="362">
        <v>10</v>
      </c>
      <c r="C26" s="343">
        <v>498.5</v>
      </c>
      <c r="D26" s="362">
        <v>0</v>
      </c>
      <c r="E26" s="121">
        <v>0</v>
      </c>
      <c r="F26" s="362">
        <v>10</v>
      </c>
      <c r="G26" s="121">
        <v>498.5</v>
      </c>
      <c r="H26" s="122" t="s">
        <v>697</v>
      </c>
      <c r="I26" s="122">
        <v>210</v>
      </c>
      <c r="J26" s="262"/>
      <c r="K26" s="262"/>
    </row>
    <row r="27" spans="1:11" ht="14.25" customHeight="1">
      <c r="A27" s="119" t="s">
        <v>221</v>
      </c>
      <c r="B27" s="362">
        <v>80</v>
      </c>
      <c r="C27" s="343">
        <v>3986.5</v>
      </c>
      <c r="D27" s="362">
        <v>0</v>
      </c>
      <c r="E27" s="121">
        <v>0</v>
      </c>
      <c r="F27" s="362">
        <v>80</v>
      </c>
      <c r="G27" s="121">
        <v>3986.5</v>
      </c>
      <c r="H27" s="122" t="s">
        <v>698</v>
      </c>
      <c r="I27" s="122">
        <v>180.01</v>
      </c>
      <c r="J27" s="262"/>
      <c r="K27" s="262"/>
    </row>
    <row r="28" spans="1:11" ht="14.25" customHeight="1">
      <c r="A28" s="119" t="s">
        <v>146</v>
      </c>
      <c r="B28" s="362">
        <v>31</v>
      </c>
      <c r="C28" s="343">
        <v>1545.5</v>
      </c>
      <c r="D28" s="362">
        <v>0</v>
      </c>
      <c r="E28" s="121">
        <v>0</v>
      </c>
      <c r="F28" s="362">
        <v>31</v>
      </c>
      <c r="G28" s="121">
        <v>1545.5</v>
      </c>
      <c r="H28" s="122" t="s">
        <v>699</v>
      </c>
      <c r="I28" s="122">
        <v>203.98</v>
      </c>
      <c r="J28" s="262"/>
      <c r="K28" s="262"/>
    </row>
    <row r="29" spans="1:11" ht="14.25" customHeight="1">
      <c r="A29" s="119" t="s">
        <v>83</v>
      </c>
      <c r="B29" s="362">
        <v>165</v>
      </c>
      <c r="C29" s="343">
        <v>8229</v>
      </c>
      <c r="D29" s="362">
        <v>15</v>
      </c>
      <c r="E29" s="121">
        <v>748.4</v>
      </c>
      <c r="F29" s="362">
        <v>180</v>
      </c>
      <c r="G29" s="121">
        <v>8977.4</v>
      </c>
      <c r="H29" s="122" t="s">
        <v>700</v>
      </c>
      <c r="I29" s="122">
        <v>180.44</v>
      </c>
      <c r="J29" s="262"/>
      <c r="K29" s="262"/>
    </row>
    <row r="30" spans="1:11" ht="14.25" customHeight="1">
      <c r="A30" s="119" t="s">
        <v>85</v>
      </c>
      <c r="B30" s="362">
        <v>20</v>
      </c>
      <c r="C30" s="343">
        <v>1000</v>
      </c>
      <c r="D30" s="362">
        <v>0</v>
      </c>
      <c r="E30" s="121">
        <v>0</v>
      </c>
      <c r="F30" s="362">
        <v>20</v>
      </c>
      <c r="G30" s="121">
        <v>1000</v>
      </c>
      <c r="H30" s="122" t="s">
        <v>701</v>
      </c>
      <c r="I30" s="122">
        <v>131</v>
      </c>
      <c r="J30" s="262"/>
      <c r="K30" s="262"/>
    </row>
    <row r="31" spans="1:11" ht="14.25" customHeight="1">
      <c r="A31" s="119" t="s">
        <v>87</v>
      </c>
      <c r="B31" s="362">
        <v>11</v>
      </c>
      <c r="C31" s="343">
        <v>548.5</v>
      </c>
      <c r="D31" s="362">
        <v>0</v>
      </c>
      <c r="E31" s="121">
        <v>0</v>
      </c>
      <c r="F31" s="362">
        <v>11</v>
      </c>
      <c r="G31" s="121">
        <v>548.5</v>
      </c>
      <c r="H31" s="122" t="s">
        <v>193</v>
      </c>
      <c r="I31" s="122">
        <v>300</v>
      </c>
      <c r="J31" s="262"/>
      <c r="K31" s="262"/>
    </row>
    <row r="32" spans="1:11" ht="14.25" customHeight="1">
      <c r="A32" s="119" t="s">
        <v>150</v>
      </c>
      <c r="B32" s="362">
        <v>10</v>
      </c>
      <c r="C32" s="343">
        <v>498.5</v>
      </c>
      <c r="D32" s="362">
        <v>0</v>
      </c>
      <c r="E32" s="121">
        <v>0</v>
      </c>
      <c r="F32" s="362">
        <v>10</v>
      </c>
      <c r="G32" s="121">
        <v>498.5</v>
      </c>
      <c r="H32" s="122" t="s">
        <v>411</v>
      </c>
      <c r="I32" s="122">
        <v>271</v>
      </c>
      <c r="J32" s="262"/>
      <c r="K32" s="262"/>
    </row>
    <row r="33" spans="1:11" ht="14.25" customHeight="1">
      <c r="A33" s="119" t="s">
        <v>226</v>
      </c>
      <c r="B33" s="114"/>
      <c r="C33" s="343">
        <v>0</v>
      </c>
      <c r="D33" s="362">
        <v>20</v>
      </c>
      <c r="E33" s="121">
        <v>998.4</v>
      </c>
      <c r="F33" s="362">
        <v>20</v>
      </c>
      <c r="G33" s="121">
        <v>998.4</v>
      </c>
      <c r="H33" s="122" t="s">
        <v>702</v>
      </c>
      <c r="I33" s="122">
        <v>211.5</v>
      </c>
      <c r="J33" s="262"/>
      <c r="K33" s="262"/>
    </row>
    <row r="34" spans="1:11" ht="14.25" customHeight="1">
      <c r="A34" s="119" t="s">
        <v>90</v>
      </c>
      <c r="B34" s="362">
        <v>20</v>
      </c>
      <c r="C34" s="343">
        <v>995.5</v>
      </c>
      <c r="D34" s="362">
        <v>0</v>
      </c>
      <c r="E34" s="121">
        <v>0</v>
      </c>
      <c r="F34" s="362">
        <v>20</v>
      </c>
      <c r="G34" s="121">
        <v>995.5</v>
      </c>
      <c r="H34" s="122" t="s">
        <v>703</v>
      </c>
      <c r="I34" s="122">
        <v>125.49</v>
      </c>
      <c r="J34" s="262"/>
      <c r="K34" s="262"/>
    </row>
    <row r="35" spans="1:11" ht="14.25" customHeight="1">
      <c r="A35" s="119" t="s">
        <v>155</v>
      </c>
      <c r="B35" s="362">
        <v>50</v>
      </c>
      <c r="C35" s="343">
        <v>2494</v>
      </c>
      <c r="D35" s="362">
        <v>0</v>
      </c>
      <c r="E35" s="121">
        <v>0</v>
      </c>
      <c r="F35" s="362">
        <v>50</v>
      </c>
      <c r="G35" s="121">
        <v>2494</v>
      </c>
      <c r="H35" s="122" t="s">
        <v>704</v>
      </c>
      <c r="I35" s="122">
        <v>122.41</v>
      </c>
      <c r="J35" s="262"/>
      <c r="K35" s="262"/>
    </row>
    <row r="36" spans="1:11" ht="14.25" customHeight="1">
      <c r="A36" s="119" t="s">
        <v>92</v>
      </c>
      <c r="B36" s="114"/>
      <c r="C36" s="343">
        <v>0</v>
      </c>
      <c r="D36" s="362">
        <v>40</v>
      </c>
      <c r="E36" s="121">
        <v>1993</v>
      </c>
      <c r="F36" s="362">
        <v>40</v>
      </c>
      <c r="G36" s="121">
        <v>1993</v>
      </c>
      <c r="H36" s="122" t="s">
        <v>705</v>
      </c>
      <c r="I36" s="122">
        <v>137.75</v>
      </c>
      <c r="J36" s="262"/>
      <c r="K36" s="262"/>
    </row>
    <row r="37" spans="1:11" ht="14.25" customHeight="1">
      <c r="A37" s="119" t="s">
        <v>229</v>
      </c>
      <c r="B37" s="362">
        <v>65</v>
      </c>
      <c r="C37" s="343">
        <v>3241</v>
      </c>
      <c r="D37" s="362">
        <v>0</v>
      </c>
      <c r="E37" s="121">
        <v>0</v>
      </c>
      <c r="F37" s="362">
        <v>65</v>
      </c>
      <c r="G37" s="121">
        <v>3241</v>
      </c>
      <c r="H37" s="122">
        <v>389176</v>
      </c>
      <c r="I37" s="122">
        <v>120.07898796667695</v>
      </c>
      <c r="J37" s="262"/>
      <c r="K37" s="262"/>
    </row>
    <row r="38" spans="1:11" ht="14.25" customHeight="1">
      <c r="A38" s="119" t="s">
        <v>157</v>
      </c>
      <c r="B38" s="362">
        <v>36</v>
      </c>
      <c r="C38" s="343">
        <v>1797</v>
      </c>
      <c r="D38" s="362">
        <v>0</v>
      </c>
      <c r="E38" s="121">
        <v>0</v>
      </c>
      <c r="F38" s="362">
        <v>36</v>
      </c>
      <c r="G38" s="121">
        <v>1797</v>
      </c>
      <c r="H38" s="122" t="s">
        <v>706</v>
      </c>
      <c r="I38" s="122">
        <v>301</v>
      </c>
      <c r="J38" s="262"/>
      <c r="K38" s="262"/>
    </row>
    <row r="39" spans="1:11" ht="14.25" customHeight="1">
      <c r="A39" s="119" t="s">
        <v>233</v>
      </c>
      <c r="B39" s="362">
        <v>23</v>
      </c>
      <c r="C39" s="343">
        <v>1150</v>
      </c>
      <c r="D39" s="362">
        <v>0</v>
      </c>
      <c r="E39" s="121">
        <v>0</v>
      </c>
      <c r="F39" s="362">
        <v>23</v>
      </c>
      <c r="G39" s="121">
        <v>1150</v>
      </c>
      <c r="H39" s="122" t="s">
        <v>707</v>
      </c>
      <c r="I39" s="122">
        <v>284.35</v>
      </c>
      <c r="J39" s="262"/>
      <c r="K39" s="262"/>
    </row>
    <row r="40" spans="1:11" ht="14.25" customHeight="1">
      <c r="A40" s="119" t="s">
        <v>94</v>
      </c>
      <c r="B40" s="362">
        <v>90</v>
      </c>
      <c r="C40" s="343">
        <v>4491</v>
      </c>
      <c r="D40" s="362">
        <v>0</v>
      </c>
      <c r="E40" s="121">
        <v>0</v>
      </c>
      <c r="F40" s="362">
        <v>90</v>
      </c>
      <c r="G40" s="121">
        <v>4491</v>
      </c>
      <c r="H40" s="122" t="s">
        <v>708</v>
      </c>
      <c r="I40" s="122">
        <v>211.12</v>
      </c>
      <c r="J40" s="262"/>
      <c r="K40" s="262"/>
    </row>
    <row r="41" spans="1:11" ht="14.25" customHeight="1">
      <c r="A41" s="119" t="s">
        <v>190</v>
      </c>
      <c r="B41" s="362">
        <v>10</v>
      </c>
      <c r="C41" s="343">
        <v>497</v>
      </c>
      <c r="D41" s="362">
        <v>0</v>
      </c>
      <c r="E41" s="121">
        <v>0</v>
      </c>
      <c r="F41" s="362">
        <v>10</v>
      </c>
      <c r="G41" s="121">
        <v>497</v>
      </c>
      <c r="H41" s="122">
        <v>58646</v>
      </c>
      <c r="I41" s="122">
        <v>118</v>
      </c>
      <c r="J41" s="262"/>
      <c r="K41" s="262"/>
    </row>
    <row r="42" spans="1:11" ht="14.25" customHeight="1">
      <c r="A42" s="119" t="s">
        <v>98</v>
      </c>
      <c r="B42" s="362">
        <v>205</v>
      </c>
      <c r="C42" s="343">
        <v>10238</v>
      </c>
      <c r="D42" s="362">
        <v>0</v>
      </c>
      <c r="E42" s="121">
        <v>0</v>
      </c>
      <c r="F42" s="362">
        <v>205</v>
      </c>
      <c r="G42" s="121">
        <v>10238</v>
      </c>
      <c r="H42" s="122" t="s">
        <v>709</v>
      </c>
      <c r="I42" s="122">
        <v>204.87</v>
      </c>
      <c r="J42" s="262"/>
      <c r="K42" s="262"/>
    </row>
    <row r="43" spans="1:11" ht="14.25" customHeight="1">
      <c r="A43" s="119" t="s">
        <v>99</v>
      </c>
      <c r="B43" s="114"/>
      <c r="C43" s="343">
        <v>0</v>
      </c>
      <c r="D43" s="362">
        <v>20</v>
      </c>
      <c r="E43" s="121">
        <v>998.4</v>
      </c>
      <c r="F43" s="362">
        <v>20</v>
      </c>
      <c r="G43" s="121">
        <v>998.4</v>
      </c>
      <c r="H43" s="122" t="s">
        <v>710</v>
      </c>
      <c r="I43" s="122">
        <v>233.5</v>
      </c>
      <c r="J43" s="262"/>
      <c r="K43" s="262"/>
    </row>
    <row r="44" spans="1:11" ht="14.25" customHeight="1">
      <c r="A44" s="119" t="s">
        <v>101</v>
      </c>
      <c r="B44" s="362">
        <v>40</v>
      </c>
      <c r="C44" s="343">
        <v>1994</v>
      </c>
      <c r="D44" s="362">
        <v>0</v>
      </c>
      <c r="E44" s="121">
        <v>0</v>
      </c>
      <c r="F44" s="362">
        <v>40</v>
      </c>
      <c r="G44" s="121">
        <v>1994</v>
      </c>
      <c r="H44" s="122" t="s">
        <v>711</v>
      </c>
      <c r="I44" s="122">
        <v>115.5</v>
      </c>
      <c r="J44" s="262"/>
      <c r="K44" s="262"/>
    </row>
    <row r="45" spans="1:11" ht="14.25" customHeight="1">
      <c r="A45" s="119" t="s">
        <v>105</v>
      </c>
      <c r="B45" s="114"/>
      <c r="C45" s="343">
        <v>0</v>
      </c>
      <c r="D45" s="362">
        <v>40</v>
      </c>
      <c r="E45" s="121">
        <v>1996.8</v>
      </c>
      <c r="F45" s="362">
        <v>40</v>
      </c>
      <c r="G45" s="121">
        <v>1996.8</v>
      </c>
      <c r="H45" s="122" t="s">
        <v>712</v>
      </c>
      <c r="I45" s="122">
        <v>166.75</v>
      </c>
      <c r="J45" s="262"/>
      <c r="K45" s="262"/>
    </row>
    <row r="46" spans="1:11" ht="14.25" customHeight="1">
      <c r="A46" s="119" t="s">
        <v>14</v>
      </c>
      <c r="B46" s="363">
        <v>2549</v>
      </c>
      <c r="C46" s="343" t="s">
        <v>713</v>
      </c>
      <c r="D46" s="362">
        <v>489</v>
      </c>
      <c r="E46" s="121">
        <v>24405.6</v>
      </c>
      <c r="F46" s="363">
        <v>3038</v>
      </c>
      <c r="G46" s="121" t="s">
        <v>714</v>
      </c>
      <c r="H46" s="122" t="s">
        <v>715</v>
      </c>
      <c r="I46" s="122">
        <v>191.99</v>
      </c>
      <c r="J46" s="262"/>
      <c r="K46" s="262"/>
    </row>
    <row r="47" spans="1:10" ht="14.25" customHeight="1">
      <c r="A47" s="344"/>
      <c r="B47" s="355"/>
      <c r="C47" s="342"/>
      <c r="D47" s="355"/>
      <c r="E47" s="355"/>
      <c r="F47" s="355"/>
      <c r="G47" s="342"/>
      <c r="H47" s="355"/>
      <c r="I47" s="355"/>
      <c r="J47" s="1"/>
    </row>
    <row r="48" spans="1:10" ht="14.25" customHeight="1">
      <c r="A48" s="344"/>
      <c r="B48" s="355"/>
      <c r="C48" s="342"/>
      <c r="D48" s="355"/>
      <c r="E48" s="117"/>
      <c r="F48" s="356"/>
      <c r="G48" s="342" t="s">
        <v>119</v>
      </c>
      <c r="H48" s="118"/>
      <c r="I48" s="118"/>
      <c r="J48" s="1"/>
    </row>
    <row r="49" spans="1:10" ht="14.25" customHeight="1">
      <c r="A49" s="344"/>
      <c r="B49" s="355"/>
      <c r="C49" s="342"/>
      <c r="D49" s="355"/>
      <c r="E49" s="114"/>
      <c r="F49" s="117"/>
      <c r="G49" s="359" t="s">
        <v>121</v>
      </c>
      <c r="H49" s="118"/>
      <c r="I49" s="118"/>
      <c r="J49" s="1"/>
    </row>
    <row r="50" ht="14.25" customHeight="1">
      <c r="A50" s="344"/>
    </row>
    <row r="51" ht="14.25" customHeight="1">
      <c r="A51" s="329" t="s">
        <v>117</v>
      </c>
    </row>
    <row r="52" ht="14.25" customHeight="1">
      <c r="A52" s="329" t="s">
        <v>118</v>
      </c>
    </row>
    <row r="53" ht="14.25" customHeight="1">
      <c r="A53" s="329" t="s">
        <v>120</v>
      </c>
    </row>
    <row r="54" ht="14.25" customHeight="1">
      <c r="A54" s="329" t="s">
        <v>122</v>
      </c>
    </row>
    <row r="55" ht="14.25" customHeight="1">
      <c r="A55" s="329" t="s">
        <v>123</v>
      </c>
    </row>
  </sheetData>
  <sheetProtection/>
  <printOptions/>
  <pageMargins left="0.7" right="0.7" top="0.58" bottom="0.2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0.140625" style="296" customWidth="1"/>
    <col min="2" max="2" width="7.140625" style="31" customWidth="1"/>
    <col min="3" max="3" width="10.28125" style="360" customWidth="1"/>
    <col min="4" max="4" width="7.7109375" style="31" customWidth="1"/>
    <col min="5" max="5" width="9.140625" style="244" customWidth="1"/>
    <col min="6" max="6" width="7.7109375" style="31" customWidth="1"/>
    <col min="7" max="7" width="11.421875" style="360" bestFit="1" customWidth="1"/>
    <col min="8" max="8" width="14.140625" style="48" bestFit="1" customWidth="1"/>
    <col min="9" max="9" width="8.8515625" style="48" customWidth="1"/>
    <col min="10" max="16384" width="9.140625" style="296" customWidth="1"/>
  </cols>
  <sheetData>
    <row r="1" spans="1:11" ht="14.25" customHeight="1">
      <c r="A1" s="329" t="s">
        <v>399</v>
      </c>
      <c r="B1" s="330"/>
      <c r="C1" s="331"/>
      <c r="D1" s="330"/>
      <c r="E1" s="332"/>
      <c r="F1" s="330"/>
      <c r="G1" s="331"/>
      <c r="H1" s="333"/>
      <c r="I1" s="333"/>
      <c r="J1" s="262"/>
      <c r="K1" s="262"/>
    </row>
    <row r="2" spans="1:11" ht="14.25" customHeight="1">
      <c r="A2" s="329" t="s">
        <v>632</v>
      </c>
      <c r="B2" s="330"/>
      <c r="C2" s="331"/>
      <c r="D2" s="330"/>
      <c r="E2" s="332"/>
      <c r="F2" s="330"/>
      <c r="G2" s="331"/>
      <c r="H2" s="333"/>
      <c r="I2" s="333"/>
      <c r="J2" s="262"/>
      <c r="K2" s="262"/>
    </row>
    <row r="3" spans="1:11" ht="14.25" customHeight="1">
      <c r="A3" s="329" t="s">
        <v>110</v>
      </c>
      <c r="B3" s="330"/>
      <c r="C3" s="331"/>
      <c r="D3" s="330"/>
      <c r="E3" s="332"/>
      <c r="F3" s="330"/>
      <c r="G3" s="331"/>
      <c r="H3" s="333"/>
      <c r="I3" s="333"/>
      <c r="J3" s="262"/>
      <c r="K3" s="262"/>
    </row>
    <row r="4" spans="1:11" ht="14.25" customHeight="1">
      <c r="A4" s="329" t="s">
        <v>5</v>
      </c>
      <c r="B4" s="330"/>
      <c r="C4" s="331"/>
      <c r="D4" s="330"/>
      <c r="E4" s="332"/>
      <c r="F4" s="330"/>
      <c r="G4" s="331"/>
      <c r="H4" s="333"/>
      <c r="I4" s="333"/>
      <c r="J4" s="262"/>
      <c r="K4" s="262"/>
    </row>
    <row r="5" spans="1:11" ht="14.25" customHeight="1">
      <c r="A5" s="329" t="s">
        <v>6</v>
      </c>
      <c r="B5" s="330"/>
      <c r="C5" s="331"/>
      <c r="D5" s="330"/>
      <c r="E5" s="334"/>
      <c r="F5" s="330"/>
      <c r="G5" s="331"/>
      <c r="H5" s="333"/>
      <c r="I5" s="333"/>
      <c r="J5" s="262"/>
      <c r="K5" s="262"/>
    </row>
    <row r="6" spans="1:11" ht="14.25" customHeight="1">
      <c r="A6" s="329" t="s">
        <v>111</v>
      </c>
      <c r="B6" s="330"/>
      <c r="C6" s="331"/>
      <c r="D6" s="330"/>
      <c r="E6" s="332"/>
      <c r="F6" s="330"/>
      <c r="G6" s="331"/>
      <c r="H6" s="333"/>
      <c r="I6" s="333"/>
      <c r="J6" s="262"/>
      <c r="K6" s="262"/>
    </row>
    <row r="7" spans="1:11" ht="14.25" customHeight="1">
      <c r="A7" s="329" t="s">
        <v>112</v>
      </c>
      <c r="B7" s="330"/>
      <c r="C7" s="331"/>
      <c r="D7" s="330"/>
      <c r="E7" s="335" t="s">
        <v>113</v>
      </c>
      <c r="F7" s="330"/>
      <c r="G7" s="331"/>
      <c r="H7" s="333"/>
      <c r="I7" s="333"/>
      <c r="J7" s="262"/>
      <c r="K7" s="262"/>
    </row>
    <row r="8" spans="1:11" ht="14.25" customHeight="1">
      <c r="A8" s="336" t="s">
        <v>674</v>
      </c>
      <c r="B8" s="337"/>
      <c r="C8" s="338"/>
      <c r="D8" s="337"/>
      <c r="E8" s="339"/>
      <c r="F8" s="337"/>
      <c r="G8" s="338"/>
      <c r="H8" s="340"/>
      <c r="I8" s="340"/>
      <c r="J8" s="262"/>
      <c r="K8" s="262"/>
    </row>
    <row r="9" spans="1:11" ht="14.25" customHeight="1">
      <c r="A9" s="114"/>
      <c r="B9" s="341" t="s">
        <v>45</v>
      </c>
      <c r="C9" s="342"/>
      <c r="D9" s="341" t="s">
        <v>46</v>
      </c>
      <c r="E9" s="342"/>
      <c r="F9" s="341"/>
      <c r="G9" s="343" t="s">
        <v>47</v>
      </c>
      <c r="H9" s="118"/>
      <c r="I9" s="118"/>
      <c r="J9" s="262"/>
      <c r="K9" s="262"/>
    </row>
    <row r="10" spans="1:11" ht="14.25" customHeight="1">
      <c r="A10" s="344" t="s">
        <v>461</v>
      </c>
      <c r="B10" s="345" t="s">
        <v>49</v>
      </c>
      <c r="C10" s="346" t="s">
        <v>50</v>
      </c>
      <c r="D10" s="345" t="s">
        <v>49</v>
      </c>
      <c r="E10" s="346" t="s">
        <v>50</v>
      </c>
      <c r="F10" s="345" t="s">
        <v>49</v>
      </c>
      <c r="G10" s="346" t="s">
        <v>50</v>
      </c>
      <c r="H10" s="347" t="s">
        <v>51</v>
      </c>
      <c r="I10" s="347" t="s">
        <v>52</v>
      </c>
      <c r="J10" s="262"/>
      <c r="K10" s="262"/>
    </row>
    <row r="11" spans="1:11" ht="14.25" customHeight="1">
      <c r="A11" s="119" t="s">
        <v>466</v>
      </c>
      <c r="B11" s="348"/>
      <c r="C11" s="343">
        <v>0</v>
      </c>
      <c r="D11" s="115"/>
      <c r="E11" s="121"/>
      <c r="F11" s="115"/>
      <c r="G11" s="343"/>
      <c r="H11" s="122"/>
      <c r="I11" s="350"/>
      <c r="J11" s="262"/>
      <c r="K11" s="262"/>
    </row>
    <row r="12" spans="1:11" ht="14.25" customHeight="1">
      <c r="A12" s="114" t="s">
        <v>14</v>
      </c>
      <c r="B12" s="122">
        <f aca="true" t="shared" si="0" ref="B12:H12">SUM(B11)</f>
        <v>0</v>
      </c>
      <c r="C12" s="343">
        <f t="shared" si="0"/>
        <v>0</v>
      </c>
      <c r="D12" s="341">
        <f t="shared" si="0"/>
        <v>0</v>
      </c>
      <c r="E12" s="343">
        <f t="shared" si="0"/>
        <v>0</v>
      </c>
      <c r="F12" s="341">
        <f t="shared" si="0"/>
        <v>0</v>
      </c>
      <c r="G12" s="343">
        <f t="shared" si="0"/>
        <v>0</v>
      </c>
      <c r="H12" s="122">
        <f t="shared" si="0"/>
        <v>0</v>
      </c>
      <c r="I12" s="122" t="e">
        <f>H12/G12</f>
        <v>#DIV/0!</v>
      </c>
      <c r="J12" s="262"/>
      <c r="K12" s="262"/>
    </row>
    <row r="13" spans="1:11" ht="14.25" customHeight="1">
      <c r="A13" s="344" t="s">
        <v>462</v>
      </c>
      <c r="B13" s="345" t="s">
        <v>49</v>
      </c>
      <c r="C13" s="346" t="s">
        <v>50</v>
      </c>
      <c r="D13" s="345" t="s">
        <v>49</v>
      </c>
      <c r="E13" s="346" t="s">
        <v>50</v>
      </c>
      <c r="F13" s="345" t="s">
        <v>49</v>
      </c>
      <c r="G13" s="346" t="s">
        <v>50</v>
      </c>
      <c r="H13" s="347" t="s">
        <v>51</v>
      </c>
      <c r="I13" s="347" t="s">
        <v>52</v>
      </c>
      <c r="J13" s="262"/>
      <c r="K13" s="262"/>
    </row>
    <row r="14" spans="1:11" ht="14.25" customHeight="1">
      <c r="A14" s="119" t="s">
        <v>53</v>
      </c>
      <c r="B14" s="362">
        <v>51</v>
      </c>
      <c r="C14" s="343">
        <v>2542.5</v>
      </c>
      <c r="D14" s="362">
        <v>0</v>
      </c>
      <c r="E14" s="121">
        <v>0</v>
      </c>
      <c r="F14" s="362">
        <v>51</v>
      </c>
      <c r="G14" s="343">
        <v>2542.5</v>
      </c>
      <c r="H14" s="122" t="s">
        <v>675</v>
      </c>
      <c r="I14" s="350">
        <v>216.08</v>
      </c>
      <c r="J14" s="262"/>
      <c r="K14" s="262"/>
    </row>
    <row r="15" spans="1:11" ht="14.25" customHeight="1">
      <c r="A15" s="119" t="s">
        <v>61</v>
      </c>
      <c r="B15" s="362">
        <v>10</v>
      </c>
      <c r="C15" s="343">
        <v>500</v>
      </c>
      <c r="D15" s="362">
        <v>0</v>
      </c>
      <c r="E15" s="121">
        <v>0</v>
      </c>
      <c r="F15" s="362">
        <v>10</v>
      </c>
      <c r="G15" s="343">
        <v>500</v>
      </c>
      <c r="H15" s="122" t="s">
        <v>560</v>
      </c>
      <c r="I15" s="350">
        <v>321</v>
      </c>
      <c r="J15" s="262"/>
      <c r="K15" s="262"/>
    </row>
    <row r="16" spans="1:11" ht="14.25" customHeight="1">
      <c r="A16" s="119" t="s">
        <v>63</v>
      </c>
      <c r="B16" s="362">
        <v>35</v>
      </c>
      <c r="C16" s="343">
        <v>1748.5</v>
      </c>
      <c r="D16" s="362">
        <v>0</v>
      </c>
      <c r="E16" s="121">
        <v>0</v>
      </c>
      <c r="F16" s="362">
        <v>35</v>
      </c>
      <c r="G16" s="343">
        <v>1748.5</v>
      </c>
      <c r="H16" s="122" t="s">
        <v>676</v>
      </c>
      <c r="I16" s="350">
        <v>320</v>
      </c>
      <c r="J16" s="262"/>
      <c r="K16" s="262"/>
    </row>
    <row r="17" spans="1:11" ht="14.25" customHeight="1">
      <c r="A17" s="119" t="s">
        <v>71</v>
      </c>
      <c r="B17" s="362">
        <v>70</v>
      </c>
      <c r="C17" s="343">
        <v>3492.5</v>
      </c>
      <c r="D17" s="362">
        <v>0</v>
      </c>
      <c r="E17" s="121">
        <v>0</v>
      </c>
      <c r="F17" s="362">
        <v>70</v>
      </c>
      <c r="G17" s="343">
        <v>3492.5</v>
      </c>
      <c r="H17" s="122" t="s">
        <v>677</v>
      </c>
      <c r="I17" s="350">
        <v>188.72</v>
      </c>
      <c r="J17" s="262"/>
      <c r="K17" s="262"/>
    </row>
    <row r="18" spans="1:11" ht="14.25" customHeight="1">
      <c r="A18" s="119" t="s">
        <v>83</v>
      </c>
      <c r="B18" s="362">
        <v>40</v>
      </c>
      <c r="C18" s="343">
        <v>1998.5</v>
      </c>
      <c r="D18" s="362">
        <v>0</v>
      </c>
      <c r="E18" s="121">
        <v>0</v>
      </c>
      <c r="F18" s="362">
        <v>40</v>
      </c>
      <c r="G18" s="343">
        <v>1998.5</v>
      </c>
      <c r="H18" s="122" t="s">
        <v>678</v>
      </c>
      <c r="I18" s="350">
        <v>181.5</v>
      </c>
      <c r="J18" s="262"/>
      <c r="K18" s="262"/>
    </row>
    <row r="19" spans="1:11" ht="14.25" customHeight="1">
      <c r="A19" s="119" t="s">
        <v>155</v>
      </c>
      <c r="B19" s="362">
        <v>24</v>
      </c>
      <c r="C19" s="343">
        <v>1197</v>
      </c>
      <c r="D19" s="362">
        <v>0</v>
      </c>
      <c r="E19" s="121">
        <v>0</v>
      </c>
      <c r="F19" s="362">
        <v>24</v>
      </c>
      <c r="G19" s="343">
        <v>1197</v>
      </c>
      <c r="H19" s="122" t="s">
        <v>679</v>
      </c>
      <c r="I19" s="350">
        <v>276.86</v>
      </c>
      <c r="J19" s="262"/>
      <c r="K19" s="262"/>
    </row>
    <row r="20" spans="1:11" ht="14.25" customHeight="1">
      <c r="A20" s="119" t="s">
        <v>233</v>
      </c>
      <c r="B20" s="362">
        <v>10</v>
      </c>
      <c r="C20" s="343">
        <v>500</v>
      </c>
      <c r="D20" s="362">
        <v>0</v>
      </c>
      <c r="E20" s="121">
        <v>0</v>
      </c>
      <c r="F20" s="362">
        <v>10</v>
      </c>
      <c r="G20" s="343">
        <v>500</v>
      </c>
      <c r="H20" s="122" t="s">
        <v>680</v>
      </c>
      <c r="I20" s="350">
        <v>215</v>
      </c>
      <c r="J20" s="262"/>
      <c r="K20" s="262"/>
    </row>
    <row r="21" spans="1:11" ht="14.25" customHeight="1">
      <c r="A21" s="119" t="s">
        <v>14</v>
      </c>
      <c r="B21" s="362">
        <v>240</v>
      </c>
      <c r="C21" s="343">
        <v>11979</v>
      </c>
      <c r="D21" s="362">
        <v>0</v>
      </c>
      <c r="E21" s="121">
        <v>0</v>
      </c>
      <c r="F21" s="362">
        <v>240</v>
      </c>
      <c r="G21" s="343">
        <v>11979</v>
      </c>
      <c r="H21" s="122" t="s">
        <v>681</v>
      </c>
      <c r="I21" s="350">
        <v>227.91</v>
      </c>
      <c r="J21" s="262"/>
      <c r="K21" s="262"/>
    </row>
    <row r="22" spans="1:11" ht="14.25" customHeight="1">
      <c r="A22" s="351"/>
      <c r="B22" s="352"/>
      <c r="C22" s="353"/>
      <c r="D22" s="352"/>
      <c r="E22" s="353"/>
      <c r="F22" s="352"/>
      <c r="G22" s="353"/>
      <c r="H22" s="354"/>
      <c r="I22" s="354"/>
      <c r="J22" s="262"/>
      <c r="K22" s="262"/>
    </row>
    <row r="23" spans="1:10" ht="14.25" customHeight="1">
      <c r="A23" s="329" t="s">
        <v>117</v>
      </c>
      <c r="B23" s="355"/>
      <c r="C23" s="342"/>
      <c r="D23" s="355"/>
      <c r="E23" s="355"/>
      <c r="F23" s="355"/>
      <c r="G23" s="342"/>
      <c r="H23" s="355"/>
      <c r="I23" s="355"/>
      <c r="J23" s="1"/>
    </row>
    <row r="24" spans="1:10" ht="14.25" customHeight="1">
      <c r="A24" s="329" t="s">
        <v>118</v>
      </c>
      <c r="B24" s="355"/>
      <c r="C24" s="342"/>
      <c r="D24" s="355"/>
      <c r="E24" s="117"/>
      <c r="F24" s="356"/>
      <c r="G24" s="342" t="s">
        <v>119</v>
      </c>
      <c r="H24" s="118"/>
      <c r="I24" s="118"/>
      <c r="J24" s="1"/>
    </row>
    <row r="25" spans="1:10" ht="14.25" customHeight="1">
      <c r="A25" s="329" t="s">
        <v>120</v>
      </c>
      <c r="B25" s="355"/>
      <c r="C25" s="342"/>
      <c r="D25" s="355"/>
      <c r="E25" s="114"/>
      <c r="F25" s="117"/>
      <c r="G25" s="359" t="s">
        <v>121</v>
      </c>
      <c r="H25" s="118"/>
      <c r="I25" s="118"/>
      <c r="J25" s="1"/>
    </row>
    <row r="26" spans="1:10" ht="14.25" customHeight="1">
      <c r="A26" s="329" t="s">
        <v>122</v>
      </c>
      <c r="B26" s="355"/>
      <c r="C26" s="342"/>
      <c r="D26" s="355"/>
      <c r="E26" s="117"/>
      <c r="F26" s="355"/>
      <c r="G26" s="342"/>
      <c r="H26" s="118"/>
      <c r="I26" s="118"/>
      <c r="J26" s="1"/>
    </row>
    <row r="27" spans="1:9" ht="14.25" customHeight="1">
      <c r="A27" s="329" t="s">
        <v>123</v>
      </c>
      <c r="B27" s="355"/>
      <c r="C27" s="342"/>
      <c r="D27" s="355"/>
      <c r="E27" s="117"/>
      <c r="F27" s="355"/>
      <c r="G27" s="342"/>
      <c r="H27" s="118"/>
      <c r="I27" s="118"/>
    </row>
  </sheetData>
  <sheetProtection/>
  <printOptions/>
  <pageMargins left="0.7" right="0.7" top="0.58" bottom="0.2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">
      <selection activeCell="B22" sqref="B22"/>
    </sheetView>
  </sheetViews>
  <sheetFormatPr defaultColWidth="9.140625" defaultRowHeight="14.25" customHeight="1"/>
  <cols>
    <col min="1" max="1" width="30.140625" style="296" customWidth="1"/>
    <col min="2" max="2" width="7.140625" style="31" customWidth="1"/>
    <col min="3" max="3" width="10.28125" style="360" customWidth="1"/>
    <col min="4" max="4" width="7.7109375" style="31" customWidth="1"/>
    <col min="5" max="5" width="10.28125" style="244" bestFit="1" customWidth="1"/>
    <col min="6" max="6" width="7.7109375" style="31" customWidth="1"/>
    <col min="7" max="7" width="11.421875" style="360" bestFit="1" customWidth="1"/>
    <col min="8" max="8" width="14.140625" style="48" bestFit="1" customWidth="1"/>
    <col min="9" max="9" width="8.8515625" style="48" customWidth="1"/>
    <col min="10" max="16384" width="8.8515625" style="296" customWidth="1"/>
  </cols>
  <sheetData>
    <row r="1" spans="1:11" ht="14.25" customHeight="1">
      <c r="A1" s="329" t="s">
        <v>631</v>
      </c>
      <c r="B1" s="330"/>
      <c r="C1" s="331"/>
      <c r="D1" s="330"/>
      <c r="E1" s="332"/>
      <c r="F1" s="330"/>
      <c r="G1" s="331"/>
      <c r="H1" s="333"/>
      <c r="I1" s="333"/>
      <c r="J1" s="262"/>
      <c r="K1" s="262"/>
    </row>
    <row r="2" spans="1:11" ht="14.25" customHeight="1">
      <c r="A2" s="329" t="s">
        <v>632</v>
      </c>
      <c r="B2" s="330"/>
      <c r="C2" s="331"/>
      <c r="D2" s="330"/>
      <c r="E2" s="332"/>
      <c r="F2" s="330"/>
      <c r="G2" s="331"/>
      <c r="H2" s="333"/>
      <c r="I2" s="333"/>
      <c r="J2" s="262"/>
      <c r="K2" s="262"/>
    </row>
    <row r="3" spans="1:11" ht="14.25" customHeight="1">
      <c r="A3" s="329" t="s">
        <v>110</v>
      </c>
      <c r="B3" s="330"/>
      <c r="C3" s="331"/>
      <c r="D3" s="330"/>
      <c r="E3" s="332"/>
      <c r="F3" s="330"/>
      <c r="G3" s="331"/>
      <c r="H3" s="333"/>
      <c r="I3" s="333"/>
      <c r="J3" s="262"/>
      <c r="K3" s="262"/>
    </row>
    <row r="4" spans="1:11" ht="14.25" customHeight="1">
      <c r="A4" s="329" t="s">
        <v>5</v>
      </c>
      <c r="B4" s="330"/>
      <c r="C4" s="331"/>
      <c r="D4" s="330"/>
      <c r="E4" s="332"/>
      <c r="F4" s="330"/>
      <c r="G4" s="331"/>
      <c r="H4" s="333"/>
      <c r="I4" s="333"/>
      <c r="J4" s="262"/>
      <c r="K4" s="262"/>
    </row>
    <row r="5" spans="1:11" ht="14.25" customHeight="1">
      <c r="A5" s="329" t="s">
        <v>6</v>
      </c>
      <c r="B5" s="330"/>
      <c r="C5" s="331"/>
      <c r="D5" s="330"/>
      <c r="E5" s="334"/>
      <c r="F5" s="330"/>
      <c r="G5" s="331"/>
      <c r="H5" s="333"/>
      <c r="I5" s="333"/>
      <c r="J5" s="262"/>
      <c r="K5" s="262"/>
    </row>
    <row r="6" spans="1:11" ht="14.25" customHeight="1">
      <c r="A6" s="329" t="s">
        <v>111</v>
      </c>
      <c r="B6" s="330"/>
      <c r="C6" s="331"/>
      <c r="D6" s="330"/>
      <c r="E6" s="332"/>
      <c r="F6" s="330"/>
      <c r="G6" s="331"/>
      <c r="H6" s="333"/>
      <c r="I6" s="333"/>
      <c r="J6" s="262"/>
      <c r="K6" s="262"/>
    </row>
    <row r="7" spans="1:11" ht="14.25" customHeight="1">
      <c r="A7" s="329" t="s">
        <v>112</v>
      </c>
      <c r="B7" s="330"/>
      <c r="C7" s="331"/>
      <c r="D7" s="330"/>
      <c r="E7" s="335" t="s">
        <v>113</v>
      </c>
      <c r="F7" s="330"/>
      <c r="G7" s="331"/>
      <c r="H7" s="333"/>
      <c r="I7" s="333"/>
      <c r="J7" s="262"/>
      <c r="K7" s="262"/>
    </row>
    <row r="8" spans="1:11" ht="14.25" customHeight="1">
      <c r="A8" s="336" t="s">
        <v>633</v>
      </c>
      <c r="B8" s="337"/>
      <c r="C8" s="338"/>
      <c r="D8" s="337"/>
      <c r="E8" s="339"/>
      <c r="F8" s="337"/>
      <c r="G8" s="338"/>
      <c r="H8" s="340"/>
      <c r="I8" s="340"/>
      <c r="J8" s="262"/>
      <c r="K8" s="262"/>
    </row>
    <row r="9" spans="1:11" ht="14.25" customHeight="1">
      <c r="A9" s="114"/>
      <c r="B9" s="341" t="s">
        <v>45</v>
      </c>
      <c r="C9" s="342"/>
      <c r="D9" s="341" t="s">
        <v>46</v>
      </c>
      <c r="E9" s="342"/>
      <c r="F9" s="341"/>
      <c r="G9" s="343" t="s">
        <v>47</v>
      </c>
      <c r="H9" s="118"/>
      <c r="I9" s="118"/>
      <c r="J9" s="262"/>
      <c r="K9" s="262"/>
    </row>
    <row r="10" spans="1:11" ht="14.25" customHeight="1">
      <c r="A10" s="344" t="s">
        <v>461</v>
      </c>
      <c r="B10" s="345" t="s">
        <v>49</v>
      </c>
      <c r="C10" s="346" t="s">
        <v>50</v>
      </c>
      <c r="D10" s="345" t="s">
        <v>49</v>
      </c>
      <c r="E10" s="346" t="s">
        <v>50</v>
      </c>
      <c r="F10" s="345" t="s">
        <v>49</v>
      </c>
      <c r="G10" s="346" t="s">
        <v>50</v>
      </c>
      <c r="H10" s="347" t="s">
        <v>51</v>
      </c>
      <c r="I10" s="347" t="s">
        <v>52</v>
      </c>
      <c r="J10" s="262"/>
      <c r="K10" s="262"/>
    </row>
    <row r="11" spans="1:11" ht="14.25" customHeight="1">
      <c r="A11" s="119" t="s">
        <v>466</v>
      </c>
      <c r="B11" s="348"/>
      <c r="C11" s="343">
        <v>0</v>
      </c>
      <c r="D11" s="115"/>
      <c r="E11" s="121"/>
      <c r="F11" s="115"/>
      <c r="G11" s="343"/>
      <c r="H11" s="122"/>
      <c r="I11" s="350"/>
      <c r="J11" s="262"/>
      <c r="K11" s="262"/>
    </row>
    <row r="12" spans="1:11" ht="14.25" customHeight="1">
      <c r="A12" s="114" t="s">
        <v>14</v>
      </c>
      <c r="B12" s="122">
        <f aca="true" t="shared" si="0" ref="B12:H12">SUM(B11)</f>
        <v>0</v>
      </c>
      <c r="C12" s="343">
        <f t="shared" si="0"/>
        <v>0</v>
      </c>
      <c r="D12" s="341">
        <f t="shared" si="0"/>
        <v>0</v>
      </c>
      <c r="E12" s="343">
        <f t="shared" si="0"/>
        <v>0</v>
      </c>
      <c r="F12" s="341">
        <f t="shared" si="0"/>
        <v>0</v>
      </c>
      <c r="G12" s="343">
        <f t="shared" si="0"/>
        <v>0</v>
      </c>
      <c r="H12" s="122">
        <f t="shared" si="0"/>
        <v>0</v>
      </c>
      <c r="I12" s="122" t="e">
        <f>H12/G12</f>
        <v>#DIV/0!</v>
      </c>
      <c r="J12" s="262"/>
      <c r="K12" s="262"/>
    </row>
    <row r="13" spans="1:11" ht="14.25" customHeight="1">
      <c r="A13" s="344" t="s">
        <v>462</v>
      </c>
      <c r="B13" s="345" t="s">
        <v>49</v>
      </c>
      <c r="C13" s="346" t="s">
        <v>50</v>
      </c>
      <c r="D13" s="345" t="s">
        <v>49</v>
      </c>
      <c r="E13" s="346" t="s">
        <v>50</v>
      </c>
      <c r="F13" s="345" t="s">
        <v>49</v>
      </c>
      <c r="G13" s="346" t="s">
        <v>50</v>
      </c>
      <c r="H13" s="347" t="s">
        <v>51</v>
      </c>
      <c r="I13" s="347" t="s">
        <v>52</v>
      </c>
      <c r="J13" s="262"/>
      <c r="K13" s="262"/>
    </row>
    <row r="14" spans="1:11" ht="14.25" customHeight="1">
      <c r="A14" s="119" t="s">
        <v>318</v>
      </c>
      <c r="B14" s="362">
        <v>10</v>
      </c>
      <c r="C14" s="343">
        <v>498.5</v>
      </c>
      <c r="D14" s="362">
        <v>0</v>
      </c>
      <c r="E14" s="121">
        <v>0</v>
      </c>
      <c r="F14" s="362">
        <v>10</v>
      </c>
      <c r="G14" s="343">
        <v>498.5</v>
      </c>
      <c r="H14" s="122">
        <v>68294.5</v>
      </c>
      <c r="I14" s="122">
        <v>137</v>
      </c>
      <c r="J14" s="262"/>
      <c r="K14" s="262"/>
    </row>
    <row r="15" spans="1:11" ht="14.25" customHeight="1">
      <c r="A15" s="119" t="s">
        <v>53</v>
      </c>
      <c r="B15" s="363">
        <v>1059</v>
      </c>
      <c r="C15" s="343">
        <v>52836</v>
      </c>
      <c r="D15" s="362">
        <v>50</v>
      </c>
      <c r="E15" s="121">
        <v>2496</v>
      </c>
      <c r="F15" s="363">
        <v>1109</v>
      </c>
      <c r="G15" s="343">
        <v>55332</v>
      </c>
      <c r="H15" s="122" t="s">
        <v>634</v>
      </c>
      <c r="I15" s="122">
        <v>195.39</v>
      </c>
      <c r="J15" s="262"/>
      <c r="K15" s="262"/>
    </row>
    <row r="16" spans="1:11" ht="14.25" customHeight="1">
      <c r="A16" s="119" t="s">
        <v>322</v>
      </c>
      <c r="B16" s="362">
        <v>40</v>
      </c>
      <c r="C16" s="343">
        <v>1995.5</v>
      </c>
      <c r="D16" s="362">
        <v>43</v>
      </c>
      <c r="E16" s="121">
        <v>2146.7</v>
      </c>
      <c r="F16" s="362">
        <v>83</v>
      </c>
      <c r="G16" s="343">
        <v>4142.2</v>
      </c>
      <c r="H16" s="122" t="s">
        <v>635</v>
      </c>
      <c r="I16" s="122">
        <v>199.2</v>
      </c>
      <c r="J16" s="262"/>
      <c r="K16" s="262"/>
    </row>
    <row r="17" spans="1:11" ht="14.25" customHeight="1">
      <c r="A17" s="119" t="s">
        <v>55</v>
      </c>
      <c r="B17" s="362">
        <v>15</v>
      </c>
      <c r="C17" s="343">
        <v>750</v>
      </c>
      <c r="D17" s="362">
        <v>0</v>
      </c>
      <c r="E17" s="121">
        <v>0</v>
      </c>
      <c r="F17" s="362">
        <v>15</v>
      </c>
      <c r="G17" s="343">
        <v>750</v>
      </c>
      <c r="H17" s="122" t="s">
        <v>636</v>
      </c>
      <c r="I17" s="122">
        <v>240</v>
      </c>
      <c r="J17" s="262"/>
      <c r="K17" s="262"/>
    </row>
    <row r="18" spans="1:11" ht="14.25" customHeight="1">
      <c r="A18" s="119" t="s">
        <v>168</v>
      </c>
      <c r="B18" s="362">
        <v>11</v>
      </c>
      <c r="C18" s="343">
        <v>548.5</v>
      </c>
      <c r="D18" s="362">
        <v>0</v>
      </c>
      <c r="E18" s="121">
        <v>0</v>
      </c>
      <c r="F18" s="362">
        <v>11</v>
      </c>
      <c r="G18" s="343">
        <v>548.5</v>
      </c>
      <c r="H18" s="122" t="s">
        <v>637</v>
      </c>
      <c r="I18" s="122">
        <v>315</v>
      </c>
      <c r="J18" s="262"/>
      <c r="K18" s="262"/>
    </row>
    <row r="19" spans="1:11" ht="14.25" customHeight="1">
      <c r="A19" s="119" t="s">
        <v>469</v>
      </c>
      <c r="B19" s="114"/>
      <c r="C19" s="343">
        <v>0</v>
      </c>
      <c r="D19" s="362">
        <v>60</v>
      </c>
      <c r="E19" s="121">
        <v>2996</v>
      </c>
      <c r="F19" s="362">
        <v>60</v>
      </c>
      <c r="G19" s="343">
        <v>2996</v>
      </c>
      <c r="H19" s="122" t="s">
        <v>638</v>
      </c>
      <c r="I19" s="122">
        <v>257.16</v>
      </c>
      <c r="J19" s="262"/>
      <c r="K19" s="262"/>
    </row>
    <row r="20" spans="1:11" ht="14.25" customHeight="1">
      <c r="A20" s="119" t="s">
        <v>128</v>
      </c>
      <c r="B20" s="362">
        <v>25</v>
      </c>
      <c r="C20" s="343">
        <v>1247</v>
      </c>
      <c r="D20" s="362">
        <v>55</v>
      </c>
      <c r="E20" s="121">
        <v>2744.4</v>
      </c>
      <c r="F20" s="362">
        <v>80</v>
      </c>
      <c r="G20" s="343">
        <v>3991.4</v>
      </c>
      <c r="H20" s="122" t="s">
        <v>639</v>
      </c>
      <c r="I20" s="122">
        <v>198.93</v>
      </c>
      <c r="J20" s="262"/>
      <c r="K20" s="262"/>
    </row>
    <row r="21" spans="1:11" ht="14.25" customHeight="1">
      <c r="A21" s="119" t="s">
        <v>171</v>
      </c>
      <c r="B21" s="362">
        <f>43+25</f>
        <v>68</v>
      </c>
      <c r="C21" s="343">
        <f>2144+1247</f>
        <v>3391</v>
      </c>
      <c r="D21" s="362">
        <v>0</v>
      </c>
      <c r="E21" s="121">
        <v>0</v>
      </c>
      <c r="F21" s="362">
        <f>43+25</f>
        <v>68</v>
      </c>
      <c r="G21" s="343">
        <f>2144+1247</f>
        <v>3391</v>
      </c>
      <c r="H21" s="122">
        <f>612872+231963</f>
        <v>844835</v>
      </c>
      <c r="I21" s="122">
        <f>H21/G21</f>
        <v>249.14037157180772</v>
      </c>
      <c r="J21" s="262"/>
      <c r="K21" s="262"/>
    </row>
    <row r="22" spans="1:11" ht="14.25" customHeight="1">
      <c r="A22" s="119" t="s">
        <v>640</v>
      </c>
      <c r="B22" s="114"/>
      <c r="C22" s="343">
        <v>0</v>
      </c>
      <c r="D22" s="362">
        <v>6</v>
      </c>
      <c r="E22" s="121">
        <v>299.5</v>
      </c>
      <c r="F22" s="362">
        <v>6</v>
      </c>
      <c r="G22" s="343">
        <v>299.5</v>
      </c>
      <c r="H22" s="122">
        <v>76971.5</v>
      </c>
      <c r="I22" s="122">
        <v>257</v>
      </c>
      <c r="J22" s="262"/>
      <c r="K22" s="262"/>
    </row>
    <row r="23" spans="1:11" ht="14.25" customHeight="1">
      <c r="A23" s="119" t="s">
        <v>205</v>
      </c>
      <c r="B23" s="362">
        <f>45+10</f>
        <v>55</v>
      </c>
      <c r="C23" s="343">
        <f>2244+498.5</f>
        <v>2742.5</v>
      </c>
      <c r="D23" s="362">
        <v>0</v>
      </c>
      <c r="E23" s="121">
        <v>0</v>
      </c>
      <c r="F23" s="362">
        <f>45+10</f>
        <v>55</v>
      </c>
      <c r="G23" s="343">
        <f>2244+498.5</f>
        <v>2742.5</v>
      </c>
      <c r="H23" s="122">
        <f>482974+60817</f>
        <v>543791</v>
      </c>
      <c r="I23" s="122">
        <f>H23/G23</f>
        <v>198.28295350957157</v>
      </c>
      <c r="J23" s="262"/>
      <c r="K23" s="262"/>
    </row>
    <row r="24" spans="1:11" ht="14.25" customHeight="1">
      <c r="A24" s="119" t="s">
        <v>176</v>
      </c>
      <c r="B24" s="114"/>
      <c r="C24" s="343">
        <v>0</v>
      </c>
      <c r="D24" s="362">
        <v>20</v>
      </c>
      <c r="E24" s="121">
        <v>998.4</v>
      </c>
      <c r="F24" s="362">
        <v>20</v>
      </c>
      <c r="G24" s="343">
        <v>998.4</v>
      </c>
      <c r="H24" s="122" t="s">
        <v>641</v>
      </c>
      <c r="I24" s="122">
        <v>172.5</v>
      </c>
      <c r="J24" s="262"/>
      <c r="K24" s="262"/>
    </row>
    <row r="25" spans="1:11" ht="14.25" customHeight="1">
      <c r="A25" s="119" t="s">
        <v>475</v>
      </c>
      <c r="B25" s="362">
        <v>350</v>
      </c>
      <c r="C25" s="343">
        <v>17464</v>
      </c>
      <c r="D25" s="362">
        <v>0</v>
      </c>
      <c r="E25" s="121">
        <v>0</v>
      </c>
      <c r="F25" s="362">
        <v>350</v>
      </c>
      <c r="G25" s="343">
        <v>17464</v>
      </c>
      <c r="H25" s="122" t="s">
        <v>642</v>
      </c>
      <c r="I25" s="122">
        <v>206.6</v>
      </c>
      <c r="J25" s="262"/>
      <c r="K25" s="262"/>
    </row>
    <row r="26" spans="1:11" ht="14.25" customHeight="1">
      <c r="A26" s="119" t="s">
        <v>63</v>
      </c>
      <c r="B26" s="362">
        <v>21</v>
      </c>
      <c r="C26" s="343">
        <v>1048.5</v>
      </c>
      <c r="D26" s="362">
        <v>0</v>
      </c>
      <c r="E26" s="121">
        <v>0</v>
      </c>
      <c r="F26" s="362">
        <v>21</v>
      </c>
      <c r="G26" s="343">
        <v>1048.5</v>
      </c>
      <c r="H26" s="122" t="s">
        <v>643</v>
      </c>
      <c r="I26" s="122">
        <v>261</v>
      </c>
      <c r="J26" s="262"/>
      <c r="K26" s="262"/>
    </row>
    <row r="27" spans="1:11" ht="14.25" customHeight="1">
      <c r="A27" s="119" t="s">
        <v>136</v>
      </c>
      <c r="B27" s="362">
        <v>61</v>
      </c>
      <c r="C27" s="343">
        <v>3045.5</v>
      </c>
      <c r="D27" s="362">
        <v>0</v>
      </c>
      <c r="E27" s="121">
        <v>0</v>
      </c>
      <c r="F27" s="362">
        <v>61</v>
      </c>
      <c r="G27" s="343">
        <v>3045.5</v>
      </c>
      <c r="H27" s="122" t="s">
        <v>644</v>
      </c>
      <c r="I27" s="122">
        <v>269.33</v>
      </c>
      <c r="J27" s="262"/>
      <c r="K27" s="262"/>
    </row>
    <row r="28" spans="1:11" ht="14.25" customHeight="1">
      <c r="A28" s="119" t="s">
        <v>67</v>
      </c>
      <c r="B28" s="114"/>
      <c r="C28" s="343">
        <v>0</v>
      </c>
      <c r="D28" s="362">
        <v>40</v>
      </c>
      <c r="E28" s="121">
        <v>1996.8</v>
      </c>
      <c r="F28" s="362">
        <v>40</v>
      </c>
      <c r="G28" s="343">
        <v>1996.8</v>
      </c>
      <c r="H28" s="122" t="s">
        <v>645</v>
      </c>
      <c r="I28" s="122">
        <v>171.5</v>
      </c>
      <c r="J28" s="262"/>
      <c r="K28" s="262"/>
    </row>
    <row r="29" spans="1:11" ht="14.25" customHeight="1">
      <c r="A29" s="119" t="s">
        <v>69</v>
      </c>
      <c r="B29" s="362">
        <v>20</v>
      </c>
      <c r="C29" s="343">
        <v>997</v>
      </c>
      <c r="D29" s="362">
        <v>0</v>
      </c>
      <c r="E29" s="121">
        <v>0</v>
      </c>
      <c r="F29" s="362">
        <v>20</v>
      </c>
      <c r="G29" s="343">
        <v>997</v>
      </c>
      <c r="H29" s="122" t="s">
        <v>646</v>
      </c>
      <c r="I29" s="122">
        <v>166</v>
      </c>
      <c r="J29" s="262"/>
      <c r="K29" s="262"/>
    </row>
    <row r="30" spans="1:11" ht="14.25" customHeight="1">
      <c r="A30" s="119" t="s">
        <v>71</v>
      </c>
      <c r="B30" s="363">
        <v>1155</v>
      </c>
      <c r="C30" s="343">
        <v>57634.5</v>
      </c>
      <c r="D30" s="362">
        <v>205</v>
      </c>
      <c r="E30" s="121">
        <v>10234</v>
      </c>
      <c r="F30" s="363">
        <v>1360</v>
      </c>
      <c r="G30" s="343">
        <v>67868.5</v>
      </c>
      <c r="H30" s="122" t="s">
        <v>647</v>
      </c>
      <c r="I30" s="122">
        <v>192.98</v>
      </c>
      <c r="J30" s="262"/>
      <c r="K30" s="262"/>
    </row>
    <row r="31" spans="1:11" ht="14.25" customHeight="1">
      <c r="A31" s="119" t="s">
        <v>648</v>
      </c>
      <c r="B31" s="362">
        <v>25</v>
      </c>
      <c r="C31" s="343">
        <v>1248.5</v>
      </c>
      <c r="D31" s="362">
        <v>0</v>
      </c>
      <c r="E31" s="121">
        <v>0</v>
      </c>
      <c r="F31" s="362">
        <v>25</v>
      </c>
      <c r="G31" s="343">
        <v>1248.5</v>
      </c>
      <c r="H31" s="122" t="s">
        <v>649</v>
      </c>
      <c r="I31" s="122">
        <v>139.4</v>
      </c>
      <c r="J31" s="262"/>
      <c r="K31" s="262"/>
    </row>
    <row r="32" spans="1:11" ht="14.25" customHeight="1">
      <c r="A32" s="119" t="s">
        <v>141</v>
      </c>
      <c r="B32" s="362">
        <v>70</v>
      </c>
      <c r="C32" s="343">
        <v>3486.5</v>
      </c>
      <c r="D32" s="362">
        <v>70</v>
      </c>
      <c r="E32" s="121">
        <v>3493.7</v>
      </c>
      <c r="F32" s="362">
        <v>140</v>
      </c>
      <c r="G32" s="343">
        <v>6980.2</v>
      </c>
      <c r="H32" s="122" t="s">
        <v>650</v>
      </c>
      <c r="I32" s="122">
        <v>161.91</v>
      </c>
      <c r="J32" s="262"/>
      <c r="K32" s="262"/>
    </row>
    <row r="33" spans="1:11" ht="14.25" customHeight="1">
      <c r="A33" s="119" t="s">
        <v>77</v>
      </c>
      <c r="B33" s="362">
        <v>75</v>
      </c>
      <c r="C33" s="343">
        <v>3736.5</v>
      </c>
      <c r="D33" s="362">
        <v>26</v>
      </c>
      <c r="E33" s="121">
        <v>1297.7</v>
      </c>
      <c r="F33" s="362">
        <v>101</v>
      </c>
      <c r="G33" s="343">
        <v>5034.2</v>
      </c>
      <c r="H33" s="122" t="s">
        <v>651</v>
      </c>
      <c r="I33" s="122">
        <v>174.7</v>
      </c>
      <c r="J33" s="262"/>
      <c r="K33" s="262"/>
    </row>
    <row r="34" spans="1:11" ht="14.25" customHeight="1">
      <c r="A34" s="119" t="s">
        <v>445</v>
      </c>
      <c r="B34" s="362">
        <v>15</v>
      </c>
      <c r="C34" s="343">
        <v>747</v>
      </c>
      <c r="D34" s="362">
        <v>0</v>
      </c>
      <c r="E34" s="121">
        <v>0</v>
      </c>
      <c r="F34" s="362">
        <v>15</v>
      </c>
      <c r="G34" s="343">
        <v>747</v>
      </c>
      <c r="H34" s="122" t="s">
        <v>652</v>
      </c>
      <c r="I34" s="122">
        <v>175.24</v>
      </c>
      <c r="J34" s="262"/>
      <c r="K34" s="262"/>
    </row>
    <row r="35" spans="1:11" ht="14.25" customHeight="1">
      <c r="A35" s="119" t="s">
        <v>79</v>
      </c>
      <c r="B35" s="114"/>
      <c r="C35" s="343">
        <v>0</v>
      </c>
      <c r="D35" s="362">
        <v>13</v>
      </c>
      <c r="E35" s="121">
        <v>648.5</v>
      </c>
      <c r="F35" s="362">
        <v>13</v>
      </c>
      <c r="G35" s="343">
        <v>648.5</v>
      </c>
      <c r="H35" s="122" t="s">
        <v>653</v>
      </c>
      <c r="I35" s="122">
        <v>285.37</v>
      </c>
      <c r="J35" s="262"/>
      <c r="K35" s="262"/>
    </row>
    <row r="36" spans="1:11" ht="14.25" customHeight="1">
      <c r="A36" s="119" t="s">
        <v>221</v>
      </c>
      <c r="B36" s="362">
        <v>70</v>
      </c>
      <c r="C36" s="343">
        <v>3491</v>
      </c>
      <c r="D36" s="362">
        <v>0</v>
      </c>
      <c r="E36" s="121">
        <v>0</v>
      </c>
      <c r="F36" s="362">
        <v>70</v>
      </c>
      <c r="G36" s="343">
        <v>3491</v>
      </c>
      <c r="H36" s="122" t="s">
        <v>654</v>
      </c>
      <c r="I36" s="122">
        <v>169.86</v>
      </c>
      <c r="J36" s="262"/>
      <c r="K36" s="262"/>
    </row>
    <row r="37" spans="1:11" ht="14.25" customHeight="1">
      <c r="A37" s="119" t="s">
        <v>81</v>
      </c>
      <c r="B37" s="362">
        <v>30</v>
      </c>
      <c r="C37" s="343">
        <v>1500</v>
      </c>
      <c r="D37" s="362">
        <v>0</v>
      </c>
      <c r="E37" s="121">
        <v>0</v>
      </c>
      <c r="F37" s="362">
        <v>30</v>
      </c>
      <c r="G37" s="343">
        <v>1500</v>
      </c>
      <c r="H37" s="122" t="s">
        <v>655</v>
      </c>
      <c r="I37" s="122">
        <v>185.67</v>
      </c>
      <c r="J37" s="262"/>
      <c r="K37" s="262"/>
    </row>
    <row r="38" spans="1:11" ht="14.25" customHeight="1">
      <c r="A38" s="119" t="s">
        <v>83</v>
      </c>
      <c r="B38" s="362">
        <v>220</v>
      </c>
      <c r="C38" s="343">
        <v>10973</v>
      </c>
      <c r="D38" s="362">
        <v>40</v>
      </c>
      <c r="E38" s="121">
        <v>1996.8</v>
      </c>
      <c r="F38" s="362">
        <v>260</v>
      </c>
      <c r="G38" s="343">
        <v>12969.8</v>
      </c>
      <c r="H38" s="122" t="s">
        <v>656</v>
      </c>
      <c r="I38" s="122">
        <v>196.43</v>
      </c>
      <c r="J38" s="262"/>
      <c r="K38" s="262"/>
    </row>
    <row r="39" spans="1:11" ht="14.25" customHeight="1">
      <c r="A39" s="119" t="s">
        <v>85</v>
      </c>
      <c r="B39" s="362">
        <v>10</v>
      </c>
      <c r="C39" s="343">
        <v>498.5</v>
      </c>
      <c r="D39" s="362">
        <v>0</v>
      </c>
      <c r="E39" s="121">
        <v>0</v>
      </c>
      <c r="F39" s="362">
        <v>10</v>
      </c>
      <c r="G39" s="343">
        <v>498.5</v>
      </c>
      <c r="H39" s="122" t="s">
        <v>657</v>
      </c>
      <c r="I39" s="122">
        <v>205</v>
      </c>
      <c r="J39" s="262"/>
      <c r="K39" s="262"/>
    </row>
    <row r="40" spans="1:11" ht="14.25" customHeight="1">
      <c r="A40" s="119" t="s">
        <v>87</v>
      </c>
      <c r="B40" s="362">
        <v>10</v>
      </c>
      <c r="C40" s="343">
        <v>498.5</v>
      </c>
      <c r="D40" s="362">
        <v>15</v>
      </c>
      <c r="E40" s="121">
        <v>748.4</v>
      </c>
      <c r="F40" s="362">
        <v>25</v>
      </c>
      <c r="G40" s="343">
        <v>1246.9</v>
      </c>
      <c r="H40" s="122" t="s">
        <v>658</v>
      </c>
      <c r="I40" s="122">
        <v>175.81</v>
      </c>
      <c r="J40" s="262"/>
      <c r="K40" s="262"/>
    </row>
    <row r="41" spans="1:11" ht="14.25" customHeight="1">
      <c r="A41" s="119" t="s">
        <v>150</v>
      </c>
      <c r="B41" s="362">
        <v>10</v>
      </c>
      <c r="C41" s="343">
        <v>500</v>
      </c>
      <c r="D41" s="362">
        <v>20</v>
      </c>
      <c r="E41" s="121">
        <v>998.4</v>
      </c>
      <c r="F41" s="362">
        <v>30</v>
      </c>
      <c r="G41" s="343">
        <v>1498.4</v>
      </c>
      <c r="H41" s="122" t="s">
        <v>659</v>
      </c>
      <c r="I41" s="122">
        <v>203.04</v>
      </c>
      <c r="J41" s="262"/>
      <c r="K41" s="262"/>
    </row>
    <row r="42" spans="1:11" ht="14.25" customHeight="1">
      <c r="A42" s="119" t="s">
        <v>90</v>
      </c>
      <c r="B42" s="362">
        <v>10</v>
      </c>
      <c r="C42" s="343">
        <v>498.5</v>
      </c>
      <c r="D42" s="362">
        <v>0</v>
      </c>
      <c r="E42" s="121">
        <v>0</v>
      </c>
      <c r="F42" s="362">
        <v>10</v>
      </c>
      <c r="G42" s="343">
        <v>498.5</v>
      </c>
      <c r="H42" s="122" t="s">
        <v>660</v>
      </c>
      <c r="I42" s="122">
        <v>309</v>
      </c>
      <c r="J42" s="262"/>
      <c r="K42" s="262"/>
    </row>
    <row r="43" spans="1:11" ht="14.25" customHeight="1">
      <c r="A43" s="119" t="s">
        <v>155</v>
      </c>
      <c r="B43" s="362">
        <v>11</v>
      </c>
      <c r="C43" s="343">
        <v>550</v>
      </c>
      <c r="D43" s="362">
        <v>0</v>
      </c>
      <c r="E43" s="121">
        <v>0</v>
      </c>
      <c r="F43" s="362">
        <v>11</v>
      </c>
      <c r="G43" s="343">
        <v>550</v>
      </c>
      <c r="H43" s="122" t="s">
        <v>661</v>
      </c>
      <c r="I43" s="122">
        <v>315</v>
      </c>
      <c r="J43" s="262"/>
      <c r="K43" s="262"/>
    </row>
    <row r="44" spans="1:11" ht="14.25" customHeight="1">
      <c r="A44" s="119" t="s">
        <v>662</v>
      </c>
      <c r="B44" s="362">
        <v>20</v>
      </c>
      <c r="C44" s="343">
        <v>997</v>
      </c>
      <c r="D44" s="362">
        <v>5</v>
      </c>
      <c r="E44" s="121">
        <v>249.2</v>
      </c>
      <c r="F44" s="362">
        <v>25</v>
      </c>
      <c r="G44" s="343">
        <v>1246.2</v>
      </c>
      <c r="H44" s="122" t="s">
        <v>663</v>
      </c>
      <c r="I44" s="122">
        <v>225.8</v>
      </c>
      <c r="J44" s="262"/>
      <c r="K44" s="262"/>
    </row>
    <row r="45" spans="1:11" ht="14.25" customHeight="1">
      <c r="A45" s="119" t="s">
        <v>94</v>
      </c>
      <c r="B45" s="114"/>
      <c r="C45" s="343">
        <v>0</v>
      </c>
      <c r="D45" s="362">
        <v>30</v>
      </c>
      <c r="E45" s="121">
        <v>1497.6</v>
      </c>
      <c r="F45" s="362">
        <v>30</v>
      </c>
      <c r="G45" s="343">
        <v>1497.6</v>
      </c>
      <c r="H45" s="122" t="s">
        <v>664</v>
      </c>
      <c r="I45" s="122">
        <v>194.33</v>
      </c>
      <c r="J45" s="262"/>
      <c r="K45" s="262"/>
    </row>
    <row r="46" spans="1:11" ht="14.25" customHeight="1">
      <c r="A46" s="119" t="s">
        <v>266</v>
      </c>
      <c r="B46" s="114"/>
      <c r="C46" s="343">
        <v>0</v>
      </c>
      <c r="D46" s="362">
        <v>10</v>
      </c>
      <c r="E46" s="121">
        <v>499.2</v>
      </c>
      <c r="F46" s="362">
        <v>10</v>
      </c>
      <c r="G46" s="343">
        <v>499.2</v>
      </c>
      <c r="H46" s="122" t="s">
        <v>665</v>
      </c>
      <c r="I46" s="122">
        <v>242</v>
      </c>
      <c r="J46" s="262"/>
      <c r="K46" s="262"/>
    </row>
    <row r="47" spans="1:11" ht="14.25" customHeight="1">
      <c r="A47" s="119" t="s">
        <v>96</v>
      </c>
      <c r="B47" s="362">
        <v>60</v>
      </c>
      <c r="C47" s="343">
        <v>2997</v>
      </c>
      <c r="D47" s="362">
        <v>0</v>
      </c>
      <c r="E47" s="121">
        <v>0</v>
      </c>
      <c r="F47" s="362">
        <v>60</v>
      </c>
      <c r="G47" s="343">
        <v>2997</v>
      </c>
      <c r="H47" s="122" t="s">
        <v>666</v>
      </c>
      <c r="I47" s="122">
        <v>242.49</v>
      </c>
      <c r="J47" s="262"/>
      <c r="K47" s="262"/>
    </row>
    <row r="48" spans="1:11" ht="14.25" customHeight="1">
      <c r="A48" s="119" t="s">
        <v>99</v>
      </c>
      <c r="B48" s="114"/>
      <c r="C48" s="343">
        <v>0</v>
      </c>
      <c r="D48" s="362">
        <v>95</v>
      </c>
      <c r="E48" s="121">
        <v>4741.5</v>
      </c>
      <c r="F48" s="362">
        <v>95</v>
      </c>
      <c r="G48" s="343">
        <v>4741.5</v>
      </c>
      <c r="H48" s="122" t="s">
        <v>667</v>
      </c>
      <c r="I48" s="122">
        <v>238.79</v>
      </c>
      <c r="J48" s="262"/>
      <c r="K48" s="262"/>
    </row>
    <row r="49" spans="1:11" ht="14.25" customHeight="1">
      <c r="A49" s="119" t="s">
        <v>103</v>
      </c>
      <c r="B49" s="362">
        <v>11</v>
      </c>
      <c r="C49" s="343">
        <v>550</v>
      </c>
      <c r="D49" s="362">
        <v>0</v>
      </c>
      <c r="E49" s="121">
        <v>0</v>
      </c>
      <c r="F49" s="362">
        <v>11</v>
      </c>
      <c r="G49" s="343">
        <v>550</v>
      </c>
      <c r="H49" s="122" t="s">
        <v>668</v>
      </c>
      <c r="I49" s="122">
        <v>272</v>
      </c>
      <c r="J49" s="262"/>
      <c r="K49" s="262"/>
    </row>
    <row r="50" spans="1:11" ht="14.25" customHeight="1">
      <c r="A50" s="119" t="s">
        <v>271</v>
      </c>
      <c r="B50" s="362">
        <v>40</v>
      </c>
      <c r="C50" s="343">
        <v>1997</v>
      </c>
      <c r="D50" s="362">
        <v>0</v>
      </c>
      <c r="E50" s="121">
        <v>0</v>
      </c>
      <c r="F50" s="362">
        <v>40</v>
      </c>
      <c r="G50" s="343">
        <v>1997</v>
      </c>
      <c r="H50" s="122" t="s">
        <v>669</v>
      </c>
      <c r="I50" s="122">
        <v>308.75</v>
      </c>
      <c r="J50" s="262"/>
      <c r="K50" s="262"/>
    </row>
    <row r="51" spans="1:11" ht="14.25" customHeight="1">
      <c r="A51" s="119" t="s">
        <v>194</v>
      </c>
      <c r="B51" s="362">
        <v>40</v>
      </c>
      <c r="C51" s="343">
        <v>1992.5</v>
      </c>
      <c r="D51" s="362">
        <v>0</v>
      </c>
      <c r="E51" s="121">
        <v>0</v>
      </c>
      <c r="F51" s="362">
        <v>40</v>
      </c>
      <c r="G51" s="343">
        <v>1992.5</v>
      </c>
      <c r="H51" s="122" t="s">
        <v>670</v>
      </c>
      <c r="I51" s="122">
        <v>150.27</v>
      </c>
      <c r="J51" s="262"/>
      <c r="K51" s="262"/>
    </row>
    <row r="52" spans="1:11" ht="14.25" customHeight="1">
      <c r="A52" s="119" t="s">
        <v>14</v>
      </c>
      <c r="B52" s="363">
        <v>3617</v>
      </c>
      <c r="C52" s="343" t="s">
        <v>671</v>
      </c>
      <c r="D52" s="362">
        <v>803</v>
      </c>
      <c r="E52" s="121">
        <v>40082.8</v>
      </c>
      <c r="F52" s="363">
        <v>4420</v>
      </c>
      <c r="G52" s="343" t="s">
        <v>672</v>
      </c>
      <c r="H52" s="122" t="s">
        <v>673</v>
      </c>
      <c r="I52" s="122">
        <v>199.76</v>
      </c>
      <c r="J52" s="262"/>
      <c r="K52" s="262"/>
    </row>
    <row r="53" spans="1:11" ht="14.25" customHeight="1">
      <c r="A53" s="351"/>
      <c r="B53" s="352"/>
      <c r="C53" s="353"/>
      <c r="D53" s="352"/>
      <c r="E53" s="353"/>
      <c r="F53" s="352"/>
      <c r="G53" s="353"/>
      <c r="H53" s="354"/>
      <c r="I53" s="354"/>
      <c r="J53" s="262"/>
      <c r="K53" s="262"/>
    </row>
    <row r="54" spans="1:10" ht="14.25" customHeight="1">
      <c r="A54" s="329" t="s">
        <v>117</v>
      </c>
      <c r="B54" s="355"/>
      <c r="C54" s="342"/>
      <c r="D54" s="355"/>
      <c r="E54" s="355"/>
      <c r="F54" s="355"/>
      <c r="G54" s="342"/>
      <c r="H54" s="355"/>
      <c r="I54" s="355"/>
      <c r="J54" s="1"/>
    </row>
    <row r="55" spans="1:10" ht="14.25" customHeight="1">
      <c r="A55" s="329" t="s">
        <v>118</v>
      </c>
      <c r="B55" s="355"/>
      <c r="C55" s="342"/>
      <c r="D55" s="355"/>
      <c r="E55" s="117"/>
      <c r="F55" s="356"/>
      <c r="G55" s="342" t="s">
        <v>119</v>
      </c>
      <c r="H55" s="118"/>
      <c r="I55" s="118"/>
      <c r="J55" s="1"/>
    </row>
    <row r="56" spans="1:10" ht="14.25" customHeight="1">
      <c r="A56" s="329" t="s">
        <v>120</v>
      </c>
      <c r="B56" s="355"/>
      <c r="C56" s="342"/>
      <c r="D56" s="355"/>
      <c r="E56" s="114"/>
      <c r="F56" s="117"/>
      <c r="G56" s="359" t="s">
        <v>121</v>
      </c>
      <c r="H56" s="118"/>
      <c r="I56" s="118"/>
      <c r="J56" s="1"/>
    </row>
    <row r="57" spans="1:10" ht="14.25" customHeight="1">
      <c r="A57" s="329" t="s">
        <v>122</v>
      </c>
      <c r="B57" s="355"/>
      <c r="C57" s="342"/>
      <c r="D57" s="355"/>
      <c r="E57" s="117"/>
      <c r="F57" s="355"/>
      <c r="G57" s="342"/>
      <c r="H57" s="118"/>
      <c r="I57" s="118"/>
      <c r="J57" s="1"/>
    </row>
    <row r="58" spans="1:9" ht="14.25" customHeight="1">
      <c r="A58" s="329" t="s">
        <v>123</v>
      </c>
      <c r="B58" s="355"/>
      <c r="C58" s="342"/>
      <c r="D58" s="355"/>
      <c r="E58" s="117"/>
      <c r="F58" s="355"/>
      <c r="G58" s="342"/>
      <c r="H58" s="118"/>
      <c r="I58" s="118"/>
    </row>
    <row r="59" ht="14.25" customHeight="1">
      <c r="A59" s="1"/>
    </row>
    <row r="60" spans="1:9" ht="14.25" customHeight="1">
      <c r="A60" s="41"/>
      <c r="B60" s="42"/>
      <c r="C60" s="361"/>
      <c r="D60" s="42"/>
      <c r="E60" s="44"/>
      <c r="F60" s="42"/>
      <c r="G60" s="361"/>
      <c r="H60" s="47"/>
      <c r="I60" s="47"/>
    </row>
    <row r="61" spans="1:9" ht="14.25" customHeight="1">
      <c r="A61" s="41"/>
      <c r="B61" s="42"/>
      <c r="C61" s="361"/>
      <c r="D61" s="42"/>
      <c r="E61" s="44"/>
      <c r="F61" s="42"/>
      <c r="G61" s="361"/>
      <c r="H61" s="47"/>
      <c r="I61" s="47"/>
    </row>
    <row r="62" spans="1:9" ht="14.25" customHeight="1">
      <c r="A62" s="41"/>
      <c r="B62" s="42"/>
      <c r="C62" s="361"/>
      <c r="D62" s="42"/>
      <c r="E62" s="44"/>
      <c r="F62" s="42"/>
      <c r="G62" s="361"/>
      <c r="H62" s="47"/>
      <c r="I62" s="47"/>
    </row>
    <row r="63" spans="1:9" ht="14.25" customHeight="1">
      <c r="A63" s="41"/>
      <c r="B63" s="42"/>
      <c r="C63" s="361"/>
      <c r="D63" s="42"/>
      <c r="E63" s="44"/>
      <c r="F63" s="42"/>
      <c r="G63" s="361"/>
      <c r="H63" s="47"/>
      <c r="I63" s="47"/>
    </row>
    <row r="64" spans="1:9" ht="14.25" customHeight="1">
      <c r="A64" s="41"/>
      <c r="B64" s="42"/>
      <c r="C64" s="361"/>
      <c r="D64" s="42"/>
      <c r="E64" s="44"/>
      <c r="F64" s="42"/>
      <c r="G64" s="361"/>
      <c r="H64" s="47"/>
      <c r="I64" s="47"/>
    </row>
    <row r="65" spans="1:9" ht="14.25" customHeight="1">
      <c r="A65" s="41"/>
      <c r="B65" s="42"/>
      <c r="C65" s="361"/>
      <c r="D65" s="42"/>
      <c r="E65" s="44"/>
      <c r="F65" s="42"/>
      <c r="G65" s="361"/>
      <c r="H65" s="47"/>
      <c r="I65" s="47"/>
    </row>
    <row r="66" spans="1:9" ht="14.25" customHeight="1">
      <c r="A66" s="41"/>
      <c r="B66" s="42"/>
      <c r="C66" s="361"/>
      <c r="D66" s="42"/>
      <c r="E66" s="44"/>
      <c r="F66" s="42"/>
      <c r="G66" s="361"/>
      <c r="H66" s="47"/>
      <c r="I66" s="47"/>
    </row>
    <row r="67" spans="1:9" ht="14.25" customHeight="1">
      <c r="A67" s="41"/>
      <c r="B67" s="42"/>
      <c r="C67" s="361"/>
      <c r="D67" s="42"/>
      <c r="E67" s="44"/>
      <c r="F67" s="42"/>
      <c r="G67" s="361"/>
      <c r="H67" s="47"/>
      <c r="I67" s="47"/>
    </row>
    <row r="68" spans="1:9" ht="14.25" customHeight="1">
      <c r="A68" s="41"/>
      <c r="B68" s="42"/>
      <c r="C68" s="361"/>
      <c r="D68" s="42"/>
      <c r="E68" s="44"/>
      <c r="F68" s="42"/>
      <c r="G68" s="361"/>
      <c r="H68" s="47"/>
      <c r="I68" s="47"/>
    </row>
    <row r="69" spans="1:9" ht="14.25" customHeight="1">
      <c r="A69" s="41"/>
      <c r="B69" s="42"/>
      <c r="C69" s="361"/>
      <c r="D69" s="42"/>
      <c r="E69" s="44"/>
      <c r="F69" s="42"/>
      <c r="G69" s="361"/>
      <c r="H69" s="47"/>
      <c r="I69" s="47"/>
    </row>
    <row r="70" spans="1:9" ht="14.25" customHeight="1">
      <c r="A70" s="41"/>
      <c r="B70" s="42"/>
      <c r="C70" s="361"/>
      <c r="D70" s="42"/>
      <c r="E70" s="44"/>
      <c r="F70" s="42"/>
      <c r="G70" s="361"/>
      <c r="H70" s="47"/>
      <c r="I70" s="47"/>
    </row>
    <row r="71" spans="1:9" ht="14.25" customHeight="1">
      <c r="A71" s="41"/>
      <c r="B71" s="42"/>
      <c r="C71" s="361"/>
      <c r="D71" s="42"/>
      <c r="E71" s="44"/>
      <c r="F71" s="42"/>
      <c r="G71" s="361"/>
      <c r="H71" s="47"/>
      <c r="I71" s="47"/>
    </row>
    <row r="72" spans="1:9" ht="14.25" customHeight="1">
      <c r="A72" s="41"/>
      <c r="B72" s="42"/>
      <c r="C72" s="361"/>
      <c r="D72" s="42"/>
      <c r="E72" s="44"/>
      <c r="F72" s="42"/>
      <c r="G72" s="361"/>
      <c r="H72" s="47"/>
      <c r="I72" s="47"/>
    </row>
    <row r="73" spans="1:9" ht="14.25" customHeight="1">
      <c r="A73" s="41"/>
      <c r="B73" s="42"/>
      <c r="C73" s="361"/>
      <c r="D73" s="42"/>
      <c r="E73" s="44"/>
      <c r="F73" s="42"/>
      <c r="G73" s="361"/>
      <c r="H73" s="47"/>
      <c r="I73" s="47"/>
    </row>
    <row r="74" spans="1:9" ht="14.25" customHeight="1">
      <c r="A74" s="41"/>
      <c r="B74" s="42"/>
      <c r="C74" s="361"/>
      <c r="D74" s="42"/>
      <c r="E74" s="44"/>
      <c r="F74" s="42"/>
      <c r="G74" s="361"/>
      <c r="H74" s="47"/>
      <c r="I74" s="47"/>
    </row>
    <row r="75" spans="1:9" ht="14.25" customHeight="1">
      <c r="A75" s="41"/>
      <c r="B75" s="42"/>
      <c r="C75" s="361"/>
      <c r="D75" s="42"/>
      <c r="E75" s="44"/>
      <c r="F75" s="42"/>
      <c r="G75" s="361"/>
      <c r="H75" s="47"/>
      <c r="I75" s="47"/>
    </row>
    <row r="76" spans="1:9" ht="14.25" customHeight="1">
      <c r="A76" s="41"/>
      <c r="B76" s="42"/>
      <c r="C76" s="361"/>
      <c r="D76" s="42"/>
      <c r="E76" s="44"/>
      <c r="F76" s="42"/>
      <c r="G76" s="361"/>
      <c r="H76" s="47"/>
      <c r="I76" s="47"/>
    </row>
    <row r="77" spans="1:9" ht="14.25" customHeight="1">
      <c r="A77" s="41"/>
      <c r="B77" s="42"/>
      <c r="C77" s="361"/>
      <c r="D77" s="42"/>
      <c r="E77" s="44"/>
      <c r="F77" s="42"/>
      <c r="G77" s="361"/>
      <c r="H77" s="47"/>
      <c r="I77" s="47"/>
    </row>
    <row r="78" spans="1:9" ht="14.25" customHeight="1">
      <c r="A78" s="41"/>
      <c r="B78" s="42"/>
      <c r="C78" s="361"/>
      <c r="D78" s="42"/>
      <c r="E78" s="44"/>
      <c r="F78" s="42"/>
      <c r="G78" s="361"/>
      <c r="H78" s="47"/>
      <c r="I78" s="47"/>
    </row>
    <row r="79" spans="1:9" ht="14.25" customHeight="1">
      <c r="A79" s="41"/>
      <c r="B79" s="42"/>
      <c r="C79" s="361"/>
      <c r="D79" s="42"/>
      <c r="E79" s="44"/>
      <c r="F79" s="42"/>
      <c r="G79" s="361"/>
      <c r="H79" s="47"/>
      <c r="I79" s="47"/>
    </row>
    <row r="80" spans="1:9" ht="14.25" customHeight="1">
      <c r="A80" s="41"/>
      <c r="B80" s="42"/>
      <c r="C80" s="361"/>
      <c r="D80" s="42"/>
      <c r="E80" s="44"/>
      <c r="F80" s="42"/>
      <c r="G80" s="361"/>
      <c r="H80" s="47"/>
      <c r="I80" s="47"/>
    </row>
    <row r="81" spans="1:9" ht="14.25" customHeight="1">
      <c r="A81" s="41"/>
      <c r="B81" s="42"/>
      <c r="C81" s="361"/>
      <c r="D81" s="42"/>
      <c r="E81" s="44"/>
      <c r="F81" s="42"/>
      <c r="G81" s="361"/>
      <c r="H81" s="47"/>
      <c r="I81" s="47"/>
    </row>
    <row r="82" spans="1:9" ht="14.25" customHeight="1">
      <c r="A82" s="41"/>
      <c r="B82" s="42"/>
      <c r="C82" s="361"/>
      <c r="D82" s="42"/>
      <c r="E82" s="44"/>
      <c r="F82" s="42"/>
      <c r="G82" s="361"/>
      <c r="H82" s="47"/>
      <c r="I82" s="47"/>
    </row>
    <row r="83" spans="1:9" ht="14.25" customHeight="1">
      <c r="A83" s="41"/>
      <c r="B83" s="42"/>
      <c r="C83" s="361"/>
      <c r="D83" s="42"/>
      <c r="E83" s="44"/>
      <c r="F83" s="42"/>
      <c r="G83" s="361"/>
      <c r="H83" s="47"/>
      <c r="I83" s="47"/>
    </row>
    <row r="84" spans="1:9" ht="14.25" customHeight="1">
      <c r="A84" s="41"/>
      <c r="B84" s="42"/>
      <c r="C84" s="361"/>
      <c r="D84" s="42"/>
      <c r="E84" s="44"/>
      <c r="F84" s="42"/>
      <c r="G84" s="361"/>
      <c r="H84" s="47"/>
      <c r="I84" s="47"/>
    </row>
    <row r="85" spans="1:9" ht="14.25" customHeight="1">
      <c r="A85" s="41"/>
      <c r="B85" s="42"/>
      <c r="C85" s="361"/>
      <c r="D85" s="42"/>
      <c r="E85" s="44"/>
      <c r="F85" s="42"/>
      <c r="G85" s="361"/>
      <c r="H85" s="47"/>
      <c r="I85" s="47"/>
    </row>
    <row r="86" spans="1:9" ht="14.25" customHeight="1">
      <c r="A86" s="41"/>
      <c r="B86" s="42"/>
      <c r="C86" s="361"/>
      <c r="D86" s="42"/>
      <c r="E86" s="44"/>
      <c r="F86" s="42"/>
      <c r="G86" s="361"/>
      <c r="H86" s="47"/>
      <c r="I86" s="47"/>
    </row>
    <row r="87" spans="1:9" ht="14.25" customHeight="1">
      <c r="A87" s="41"/>
      <c r="B87" s="42"/>
      <c r="C87" s="361"/>
      <c r="D87" s="42"/>
      <c r="E87" s="44"/>
      <c r="F87" s="42"/>
      <c r="G87" s="361"/>
      <c r="H87" s="47"/>
      <c r="I87" s="47"/>
    </row>
    <row r="88" spans="1:9" ht="14.25" customHeight="1">
      <c r="A88" s="41"/>
      <c r="B88" s="42"/>
      <c r="C88" s="361"/>
      <c r="D88" s="42"/>
      <c r="E88" s="44"/>
      <c r="F88" s="42"/>
      <c r="G88" s="361"/>
      <c r="H88" s="47"/>
      <c r="I88" s="47"/>
    </row>
    <row r="89" spans="1:9" ht="14.25" customHeight="1">
      <c r="A89" s="41"/>
      <c r="B89" s="42"/>
      <c r="C89" s="361"/>
      <c r="D89" s="42"/>
      <c r="E89" s="44"/>
      <c r="F89" s="42"/>
      <c r="G89" s="361"/>
      <c r="H89" s="47"/>
      <c r="I89" s="47"/>
    </row>
    <row r="90" spans="1:9" ht="14.25" customHeight="1">
      <c r="A90" s="41"/>
      <c r="B90" s="42"/>
      <c r="C90" s="361"/>
      <c r="D90" s="42"/>
      <c r="E90" s="44"/>
      <c r="F90" s="42"/>
      <c r="G90" s="361"/>
      <c r="H90" s="47"/>
      <c r="I90" s="47"/>
    </row>
    <row r="91" spans="1:9" ht="14.25" customHeight="1">
      <c r="A91" s="41"/>
      <c r="B91" s="42"/>
      <c r="C91" s="361"/>
      <c r="D91" s="42"/>
      <c r="E91" s="44"/>
      <c r="F91" s="42"/>
      <c r="G91" s="361"/>
      <c r="H91" s="47"/>
      <c r="I91" s="47"/>
    </row>
    <row r="92" spans="1:9" ht="14.25" customHeight="1">
      <c r="A92" s="41"/>
      <c r="B92" s="42"/>
      <c r="C92" s="361"/>
      <c r="D92" s="42"/>
      <c r="E92" s="44"/>
      <c r="F92" s="42"/>
      <c r="G92" s="361"/>
      <c r="H92" s="47"/>
      <c r="I92" s="47"/>
    </row>
    <row r="93" spans="1:9" ht="14.25" customHeight="1">
      <c r="A93" s="41"/>
      <c r="B93" s="42"/>
      <c r="C93" s="361"/>
      <c r="D93" s="42"/>
      <c r="E93" s="44"/>
      <c r="F93" s="42"/>
      <c r="G93" s="361"/>
      <c r="H93" s="47"/>
      <c r="I93" s="47"/>
    </row>
    <row r="94" spans="1:9" ht="14.25" customHeight="1">
      <c r="A94" s="41"/>
      <c r="B94" s="42"/>
      <c r="C94" s="361"/>
      <c r="D94" s="42"/>
      <c r="E94" s="44"/>
      <c r="F94" s="42"/>
      <c r="G94" s="361"/>
      <c r="H94" s="47"/>
      <c r="I94" s="47"/>
    </row>
    <row r="95" spans="1:9" ht="14.25" customHeight="1">
      <c r="A95" s="41"/>
      <c r="B95" s="42"/>
      <c r="C95" s="361"/>
      <c r="D95" s="42"/>
      <c r="E95" s="44"/>
      <c r="F95" s="42"/>
      <c r="G95" s="361"/>
      <c r="H95" s="47"/>
      <c r="I95" s="47"/>
    </row>
    <row r="96" spans="1:9" ht="14.25" customHeight="1">
      <c r="A96" s="41"/>
      <c r="B96" s="42"/>
      <c r="C96" s="361"/>
      <c r="D96" s="42"/>
      <c r="E96" s="44"/>
      <c r="F96" s="42"/>
      <c r="G96" s="361"/>
      <c r="H96" s="47"/>
      <c r="I96" s="47"/>
    </row>
    <row r="97" spans="1:9" ht="14.25" customHeight="1">
      <c r="A97" s="41"/>
      <c r="B97" s="42"/>
      <c r="C97" s="361"/>
      <c r="D97" s="42"/>
      <c r="E97" s="44"/>
      <c r="F97" s="42"/>
      <c r="G97" s="361"/>
      <c r="H97" s="47"/>
      <c r="I97" s="47"/>
    </row>
    <row r="98" spans="1:9" ht="14.25" customHeight="1">
      <c r="A98" s="41"/>
      <c r="B98" s="42"/>
      <c r="C98" s="361"/>
      <c r="D98" s="42"/>
      <c r="E98" s="44"/>
      <c r="F98" s="42"/>
      <c r="G98" s="361"/>
      <c r="H98" s="47"/>
      <c r="I98" s="47"/>
    </row>
    <row r="99" spans="1:9" ht="14.25" customHeight="1">
      <c r="A99" s="41"/>
      <c r="B99" s="42"/>
      <c r="C99" s="361"/>
      <c r="D99" s="42"/>
      <c r="E99" s="44"/>
      <c r="F99" s="42"/>
      <c r="G99" s="361"/>
      <c r="H99" s="47"/>
      <c r="I99" s="47"/>
    </row>
  </sheetData>
  <sheetProtection/>
  <printOptions/>
  <pageMargins left="0.7" right="0.7" top="0.58" bottom="0.2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10">
      <selection activeCell="A1" sqref="A1"/>
    </sheetView>
  </sheetViews>
  <sheetFormatPr defaultColWidth="9.140625" defaultRowHeight="14.25" customHeight="1"/>
  <cols>
    <col min="1" max="1" width="30.140625" style="296" customWidth="1"/>
    <col min="2" max="2" width="7.140625" style="31" customWidth="1"/>
    <col min="3" max="3" width="10.28125" style="244" customWidth="1"/>
    <col min="4" max="4" width="7.7109375" style="31" customWidth="1"/>
    <col min="5" max="5" width="10.28125" style="244" bestFit="1" customWidth="1"/>
    <col min="6" max="6" width="7.7109375" style="31" customWidth="1"/>
    <col min="7" max="7" width="11.421875" style="244" bestFit="1" customWidth="1"/>
    <col min="8" max="8" width="14.140625" style="48" bestFit="1" customWidth="1"/>
    <col min="9" max="9" width="8.8515625" style="48" customWidth="1"/>
    <col min="10" max="16384" width="8.8515625" style="296" customWidth="1"/>
  </cols>
  <sheetData>
    <row r="1" spans="1:11" ht="14.25" customHeight="1">
      <c r="A1" s="329" t="s">
        <v>589</v>
      </c>
      <c r="B1" s="330"/>
      <c r="C1" s="331"/>
      <c r="D1" s="330"/>
      <c r="E1" s="332"/>
      <c r="F1" s="330"/>
      <c r="G1" s="331"/>
      <c r="H1" s="333"/>
      <c r="I1" s="333"/>
      <c r="J1" s="262"/>
      <c r="K1" s="262"/>
    </row>
    <row r="2" spans="1:11" ht="14.25" customHeight="1">
      <c r="A2" s="329" t="s">
        <v>590</v>
      </c>
      <c r="B2" s="330"/>
      <c r="C2" s="331"/>
      <c r="D2" s="330"/>
      <c r="E2" s="332"/>
      <c r="F2" s="330"/>
      <c r="G2" s="331"/>
      <c r="H2" s="333"/>
      <c r="I2" s="333"/>
      <c r="J2" s="262"/>
      <c r="K2" s="262"/>
    </row>
    <row r="3" spans="1:11" ht="14.25" customHeight="1">
      <c r="A3" s="329" t="s">
        <v>110</v>
      </c>
      <c r="B3" s="330"/>
      <c r="C3" s="331"/>
      <c r="D3" s="330"/>
      <c r="E3" s="332"/>
      <c r="F3" s="330"/>
      <c r="G3" s="331"/>
      <c r="H3" s="333"/>
      <c r="I3" s="333"/>
      <c r="J3" s="262"/>
      <c r="K3" s="262"/>
    </row>
    <row r="4" spans="1:11" ht="14.25" customHeight="1">
      <c r="A4" s="329" t="s">
        <v>5</v>
      </c>
      <c r="B4" s="330"/>
      <c r="C4" s="331"/>
      <c r="D4" s="330"/>
      <c r="E4" s="332"/>
      <c r="F4" s="330"/>
      <c r="G4" s="331"/>
      <c r="H4" s="333"/>
      <c r="I4" s="333"/>
      <c r="J4" s="262"/>
      <c r="K4" s="262"/>
    </row>
    <row r="5" spans="1:11" ht="14.25" customHeight="1">
      <c r="A5" s="329" t="s">
        <v>6</v>
      </c>
      <c r="B5" s="330"/>
      <c r="C5" s="331"/>
      <c r="D5" s="330"/>
      <c r="E5" s="334"/>
      <c r="F5" s="330"/>
      <c r="G5" s="331"/>
      <c r="H5" s="333"/>
      <c r="I5" s="333"/>
      <c r="J5" s="262"/>
      <c r="K5" s="262"/>
    </row>
    <row r="6" spans="1:11" ht="14.25" customHeight="1">
      <c r="A6" s="329" t="s">
        <v>111</v>
      </c>
      <c r="B6" s="330"/>
      <c r="C6" s="331"/>
      <c r="D6" s="330"/>
      <c r="E6" s="332"/>
      <c r="F6" s="330"/>
      <c r="G6" s="331"/>
      <c r="H6" s="333"/>
      <c r="I6" s="333"/>
      <c r="J6" s="262"/>
      <c r="K6" s="262"/>
    </row>
    <row r="7" spans="1:11" ht="14.25" customHeight="1">
      <c r="A7" s="329" t="s">
        <v>112</v>
      </c>
      <c r="B7" s="330"/>
      <c r="C7" s="331"/>
      <c r="D7" s="330"/>
      <c r="E7" s="335" t="s">
        <v>113</v>
      </c>
      <c r="F7" s="330"/>
      <c r="G7" s="331"/>
      <c r="H7" s="333"/>
      <c r="I7" s="333"/>
      <c r="J7" s="262"/>
      <c r="K7" s="262"/>
    </row>
    <row r="8" spans="1:11" ht="14.25" customHeight="1">
      <c r="A8" s="336" t="s">
        <v>591</v>
      </c>
      <c r="B8" s="337"/>
      <c r="C8" s="338"/>
      <c r="D8" s="337"/>
      <c r="E8" s="339"/>
      <c r="F8" s="337"/>
      <c r="G8" s="338"/>
      <c r="H8" s="340"/>
      <c r="I8" s="340"/>
      <c r="J8" s="262"/>
      <c r="K8" s="262"/>
    </row>
    <row r="9" spans="1:11" ht="14.25" customHeight="1">
      <c r="A9" s="114"/>
      <c r="B9" s="341" t="s">
        <v>45</v>
      </c>
      <c r="C9" s="342"/>
      <c r="D9" s="341" t="s">
        <v>46</v>
      </c>
      <c r="E9" s="342"/>
      <c r="F9" s="341"/>
      <c r="G9" s="343" t="s">
        <v>47</v>
      </c>
      <c r="H9" s="118"/>
      <c r="I9" s="118"/>
      <c r="J9" s="262"/>
      <c r="K9" s="262"/>
    </row>
    <row r="10" spans="1:11" ht="14.25" customHeight="1">
      <c r="A10" s="344" t="s">
        <v>461</v>
      </c>
      <c r="B10" s="345" t="s">
        <v>49</v>
      </c>
      <c r="C10" s="346" t="s">
        <v>50</v>
      </c>
      <c r="D10" s="345" t="s">
        <v>49</v>
      </c>
      <c r="E10" s="346" t="s">
        <v>50</v>
      </c>
      <c r="F10" s="345" t="s">
        <v>49</v>
      </c>
      <c r="G10" s="346" t="s">
        <v>50</v>
      </c>
      <c r="H10" s="347" t="s">
        <v>51</v>
      </c>
      <c r="I10" s="347" t="s">
        <v>52</v>
      </c>
      <c r="J10" s="262"/>
      <c r="K10" s="262"/>
    </row>
    <row r="11" spans="1:11" ht="14.25" customHeight="1">
      <c r="A11" s="119" t="s">
        <v>466</v>
      </c>
      <c r="B11" s="348"/>
      <c r="C11" s="349">
        <v>0</v>
      </c>
      <c r="D11" s="115"/>
      <c r="E11" s="121"/>
      <c r="F11" s="115"/>
      <c r="G11" s="121"/>
      <c r="H11" s="122"/>
      <c r="I11" s="350"/>
      <c r="J11" s="262"/>
      <c r="K11" s="262"/>
    </row>
    <row r="12" spans="1:11" ht="14.25" customHeight="1">
      <c r="A12" s="114" t="s">
        <v>14</v>
      </c>
      <c r="B12" s="122">
        <f aca="true" t="shared" si="0" ref="B12:H12">SUM(B11)</f>
        <v>0</v>
      </c>
      <c r="C12" s="343">
        <f t="shared" si="0"/>
        <v>0</v>
      </c>
      <c r="D12" s="341">
        <f t="shared" si="0"/>
        <v>0</v>
      </c>
      <c r="E12" s="343">
        <f t="shared" si="0"/>
        <v>0</v>
      </c>
      <c r="F12" s="341">
        <f t="shared" si="0"/>
        <v>0</v>
      </c>
      <c r="G12" s="343">
        <f t="shared" si="0"/>
        <v>0</v>
      </c>
      <c r="H12" s="122">
        <f t="shared" si="0"/>
        <v>0</v>
      </c>
      <c r="I12" s="122" t="e">
        <f>H12/G12</f>
        <v>#DIV/0!</v>
      </c>
      <c r="J12" s="262"/>
      <c r="K12" s="262"/>
    </row>
    <row r="13" spans="1:11" ht="14.25" customHeight="1">
      <c r="A13" s="344" t="s">
        <v>462</v>
      </c>
      <c r="B13" s="345" t="s">
        <v>49</v>
      </c>
      <c r="C13" s="346" t="s">
        <v>50</v>
      </c>
      <c r="D13" s="345" t="s">
        <v>49</v>
      </c>
      <c r="E13" s="346" t="s">
        <v>50</v>
      </c>
      <c r="F13" s="345" t="s">
        <v>49</v>
      </c>
      <c r="G13" s="346" t="s">
        <v>50</v>
      </c>
      <c r="H13" s="347" t="s">
        <v>51</v>
      </c>
      <c r="I13" s="347" t="s">
        <v>52</v>
      </c>
      <c r="J13" s="262"/>
      <c r="K13" s="262"/>
    </row>
    <row r="14" spans="1:11" ht="14.25" customHeight="1">
      <c r="A14" s="351" t="s">
        <v>53</v>
      </c>
      <c r="B14" s="341">
        <v>1621</v>
      </c>
      <c r="C14" s="343">
        <v>80882</v>
      </c>
      <c r="D14" s="341">
        <v>200</v>
      </c>
      <c r="E14" s="343">
        <v>9984.6</v>
      </c>
      <c r="F14" s="341">
        <v>1821</v>
      </c>
      <c r="G14" s="343">
        <v>90866.6</v>
      </c>
      <c r="H14" s="122" t="s">
        <v>592</v>
      </c>
      <c r="I14" s="122">
        <v>205.79</v>
      </c>
      <c r="J14" s="262"/>
      <c r="K14" s="262"/>
    </row>
    <row r="15" spans="1:11" ht="14.25" customHeight="1">
      <c r="A15" s="351" t="s">
        <v>322</v>
      </c>
      <c r="B15" s="341">
        <v>11</v>
      </c>
      <c r="C15" s="343">
        <v>548.5</v>
      </c>
      <c r="D15" s="341">
        <v>0</v>
      </c>
      <c r="E15" s="343">
        <v>0</v>
      </c>
      <c r="F15" s="341">
        <v>11</v>
      </c>
      <c r="G15" s="343">
        <v>548.5</v>
      </c>
      <c r="H15" s="122" t="s">
        <v>191</v>
      </c>
      <c r="I15" s="122">
        <v>270</v>
      </c>
      <c r="J15" s="262"/>
      <c r="K15" s="262"/>
    </row>
    <row r="16" spans="1:11" ht="14.25" customHeight="1">
      <c r="A16" s="351" t="s">
        <v>168</v>
      </c>
      <c r="B16" s="341">
        <v>30</v>
      </c>
      <c r="C16" s="343">
        <v>1497</v>
      </c>
      <c r="D16" s="341">
        <v>0</v>
      </c>
      <c r="E16" s="343">
        <v>0</v>
      </c>
      <c r="F16" s="341">
        <v>30</v>
      </c>
      <c r="G16" s="343">
        <v>1497</v>
      </c>
      <c r="H16" s="122" t="s">
        <v>593</v>
      </c>
      <c r="I16" s="122">
        <v>246.71</v>
      </c>
      <c r="J16" s="262"/>
      <c r="K16" s="262"/>
    </row>
    <row r="17" spans="1:11" ht="14.25" customHeight="1">
      <c r="A17" s="351" t="s">
        <v>128</v>
      </c>
      <c r="B17" s="341">
        <v>25</v>
      </c>
      <c r="C17" s="343">
        <v>1242.5</v>
      </c>
      <c r="D17" s="341">
        <v>80</v>
      </c>
      <c r="E17" s="343">
        <v>3991.9</v>
      </c>
      <c r="F17" s="341">
        <v>105</v>
      </c>
      <c r="G17" s="343">
        <v>5234.4</v>
      </c>
      <c r="H17" s="122" t="s">
        <v>594</v>
      </c>
      <c r="I17" s="122">
        <v>179.99</v>
      </c>
      <c r="J17" s="262"/>
      <c r="K17" s="262"/>
    </row>
    <row r="18" spans="1:11" ht="14.25" customHeight="1">
      <c r="A18" s="351" t="s">
        <v>171</v>
      </c>
      <c r="B18" s="341">
        <v>40</v>
      </c>
      <c r="C18" s="343">
        <v>1988</v>
      </c>
      <c r="D18" s="341">
        <v>0</v>
      </c>
      <c r="E18" s="343">
        <v>0</v>
      </c>
      <c r="F18" s="341">
        <v>40</v>
      </c>
      <c r="G18" s="343">
        <v>1988</v>
      </c>
      <c r="H18" s="122" t="s">
        <v>595</v>
      </c>
      <c r="I18" s="122">
        <v>262.5</v>
      </c>
      <c r="J18" s="262"/>
      <c r="K18" s="262"/>
    </row>
    <row r="19" spans="1:11" ht="14.25" customHeight="1">
      <c r="A19" s="351" t="s">
        <v>173</v>
      </c>
      <c r="B19" s="341"/>
      <c r="C19" s="343">
        <v>0</v>
      </c>
      <c r="D19" s="341">
        <v>15</v>
      </c>
      <c r="E19" s="343">
        <v>748.5</v>
      </c>
      <c r="F19" s="341">
        <v>15</v>
      </c>
      <c r="G19" s="343">
        <v>748.5</v>
      </c>
      <c r="H19" s="122" t="s">
        <v>596</v>
      </c>
      <c r="I19" s="122">
        <v>177.33</v>
      </c>
      <c r="J19" s="262"/>
      <c r="K19" s="262"/>
    </row>
    <row r="20" spans="1:11" ht="14.25" customHeight="1">
      <c r="A20" s="351" t="s">
        <v>57</v>
      </c>
      <c r="B20" s="341">
        <v>65</v>
      </c>
      <c r="C20" s="343">
        <v>3238</v>
      </c>
      <c r="D20" s="341">
        <v>0</v>
      </c>
      <c r="E20" s="343">
        <v>0</v>
      </c>
      <c r="F20" s="341">
        <v>65</v>
      </c>
      <c r="G20" s="343">
        <v>3238</v>
      </c>
      <c r="H20" s="122" t="s">
        <v>597</v>
      </c>
      <c r="I20" s="122">
        <v>189.34</v>
      </c>
      <c r="J20" s="262"/>
      <c r="K20" s="262"/>
    </row>
    <row r="21" spans="1:11" ht="14.25" customHeight="1">
      <c r="A21" s="351" t="s">
        <v>205</v>
      </c>
      <c r="B21" s="341">
        <v>50</v>
      </c>
      <c r="C21" s="343">
        <v>2489.5</v>
      </c>
      <c r="D21" s="341">
        <v>0</v>
      </c>
      <c r="E21" s="343">
        <v>0</v>
      </c>
      <c r="F21" s="341">
        <v>50</v>
      </c>
      <c r="G21" s="343">
        <v>2489.5</v>
      </c>
      <c r="H21" s="122" t="s">
        <v>598</v>
      </c>
      <c r="I21" s="122">
        <v>124</v>
      </c>
      <c r="J21" s="262"/>
      <c r="K21" s="262"/>
    </row>
    <row r="22" spans="1:11" ht="14.25" customHeight="1">
      <c r="A22" s="351" t="s">
        <v>174</v>
      </c>
      <c r="B22" s="341">
        <v>11</v>
      </c>
      <c r="C22" s="343">
        <v>547</v>
      </c>
      <c r="D22" s="341">
        <v>0</v>
      </c>
      <c r="E22" s="343">
        <v>0</v>
      </c>
      <c r="F22" s="341">
        <v>11</v>
      </c>
      <c r="G22" s="343">
        <v>547</v>
      </c>
      <c r="H22" s="122" t="s">
        <v>599</v>
      </c>
      <c r="I22" s="122">
        <v>240</v>
      </c>
      <c r="J22" s="262"/>
      <c r="K22" s="262"/>
    </row>
    <row r="23" spans="1:11" ht="14.25" customHeight="1">
      <c r="A23" s="351" t="s">
        <v>176</v>
      </c>
      <c r="B23" s="341"/>
      <c r="C23" s="343">
        <v>0</v>
      </c>
      <c r="D23" s="341">
        <v>50</v>
      </c>
      <c r="E23" s="343">
        <v>2496</v>
      </c>
      <c r="F23" s="341">
        <v>50</v>
      </c>
      <c r="G23" s="343">
        <v>2496</v>
      </c>
      <c r="H23" s="122" t="s">
        <v>600</v>
      </c>
      <c r="I23" s="122">
        <v>138</v>
      </c>
      <c r="J23" s="262"/>
      <c r="K23" s="262"/>
    </row>
    <row r="24" spans="1:11" ht="14.25" customHeight="1">
      <c r="A24" s="351" t="s">
        <v>475</v>
      </c>
      <c r="B24" s="341">
        <v>355</v>
      </c>
      <c r="C24" s="343">
        <v>17718.5</v>
      </c>
      <c r="D24" s="341">
        <v>0</v>
      </c>
      <c r="E24" s="343">
        <v>0</v>
      </c>
      <c r="F24" s="341">
        <v>355</v>
      </c>
      <c r="G24" s="343">
        <v>17718.5</v>
      </c>
      <c r="H24" s="122" t="s">
        <v>601</v>
      </c>
      <c r="I24" s="122">
        <v>211.96</v>
      </c>
      <c r="J24" s="262"/>
      <c r="K24" s="262"/>
    </row>
    <row r="25" spans="1:11" ht="14.25" customHeight="1">
      <c r="A25" s="351" t="s">
        <v>61</v>
      </c>
      <c r="B25" s="341">
        <v>20</v>
      </c>
      <c r="C25" s="343">
        <v>998.5</v>
      </c>
      <c r="D25" s="341">
        <v>0</v>
      </c>
      <c r="E25" s="343">
        <v>0</v>
      </c>
      <c r="F25" s="341">
        <v>20</v>
      </c>
      <c r="G25" s="343">
        <v>998.5</v>
      </c>
      <c r="H25" s="122" t="s">
        <v>602</v>
      </c>
      <c r="I25" s="122">
        <v>318.99</v>
      </c>
      <c r="J25" s="262"/>
      <c r="K25" s="262"/>
    </row>
    <row r="26" spans="1:11" ht="14.25" customHeight="1">
      <c r="A26" s="351" t="s">
        <v>63</v>
      </c>
      <c r="B26" s="341">
        <v>50</v>
      </c>
      <c r="C26" s="343">
        <v>2498.5</v>
      </c>
      <c r="D26" s="341">
        <v>0</v>
      </c>
      <c r="E26" s="343">
        <v>0</v>
      </c>
      <c r="F26" s="341">
        <v>50</v>
      </c>
      <c r="G26" s="343">
        <v>2498.5</v>
      </c>
      <c r="H26" s="122">
        <v>713046</v>
      </c>
      <c r="I26" s="122">
        <v>285.3896337802682</v>
      </c>
      <c r="J26" s="262"/>
      <c r="K26" s="262"/>
    </row>
    <row r="27" spans="1:11" ht="14.25" customHeight="1">
      <c r="A27" s="351" t="s">
        <v>136</v>
      </c>
      <c r="B27" s="341">
        <v>90</v>
      </c>
      <c r="C27" s="343">
        <v>4486.5</v>
      </c>
      <c r="D27" s="341">
        <v>10</v>
      </c>
      <c r="E27" s="343">
        <v>499</v>
      </c>
      <c r="F27" s="341">
        <v>100</v>
      </c>
      <c r="G27" s="343">
        <v>4985.5</v>
      </c>
      <c r="H27" s="122" t="s">
        <v>603</v>
      </c>
      <c r="I27" s="122">
        <v>226</v>
      </c>
      <c r="J27" s="262"/>
      <c r="K27" s="262"/>
    </row>
    <row r="28" spans="1:11" ht="14.25" customHeight="1">
      <c r="A28" s="351" t="s">
        <v>67</v>
      </c>
      <c r="B28" s="341">
        <v>105</v>
      </c>
      <c r="C28" s="343">
        <v>5247</v>
      </c>
      <c r="D28" s="341">
        <v>120</v>
      </c>
      <c r="E28" s="343">
        <v>5990.4</v>
      </c>
      <c r="F28" s="341">
        <v>225</v>
      </c>
      <c r="G28" s="343">
        <v>11237.4</v>
      </c>
      <c r="H28" s="122" t="s">
        <v>604</v>
      </c>
      <c r="I28" s="122">
        <v>207.02</v>
      </c>
      <c r="J28" s="262"/>
      <c r="K28" s="262"/>
    </row>
    <row r="29" spans="1:11" ht="14.25" customHeight="1">
      <c r="A29" s="351" t="s">
        <v>69</v>
      </c>
      <c r="B29" s="341">
        <v>60</v>
      </c>
      <c r="C29" s="343">
        <v>2997</v>
      </c>
      <c r="D29" s="341">
        <v>0</v>
      </c>
      <c r="E29" s="343">
        <v>0</v>
      </c>
      <c r="F29" s="341">
        <v>60</v>
      </c>
      <c r="G29" s="343">
        <v>2997</v>
      </c>
      <c r="H29" s="122" t="s">
        <v>605</v>
      </c>
      <c r="I29" s="122">
        <v>202.69</v>
      </c>
      <c r="J29" s="262"/>
      <c r="K29" s="262"/>
    </row>
    <row r="30" spans="1:11" ht="14.25" customHeight="1">
      <c r="A30" s="351" t="s">
        <v>71</v>
      </c>
      <c r="B30" s="341">
        <v>1215</v>
      </c>
      <c r="C30" s="343">
        <v>60651</v>
      </c>
      <c r="D30" s="341">
        <v>320</v>
      </c>
      <c r="E30" s="343">
        <v>15975</v>
      </c>
      <c r="F30" s="341">
        <v>1535</v>
      </c>
      <c r="G30" s="343">
        <v>76626</v>
      </c>
      <c r="H30" s="122" t="s">
        <v>606</v>
      </c>
      <c r="I30" s="122">
        <v>189.73</v>
      </c>
      <c r="J30" s="262"/>
      <c r="K30" s="262"/>
    </row>
    <row r="31" spans="1:11" ht="14.25" customHeight="1">
      <c r="A31" s="351" t="s">
        <v>141</v>
      </c>
      <c r="B31" s="341">
        <v>60</v>
      </c>
      <c r="C31" s="343">
        <v>2991</v>
      </c>
      <c r="D31" s="341">
        <v>15</v>
      </c>
      <c r="E31" s="343">
        <v>748.4</v>
      </c>
      <c r="F31" s="341">
        <v>75</v>
      </c>
      <c r="G31" s="343">
        <v>3739.4</v>
      </c>
      <c r="H31" s="122" t="s">
        <v>607</v>
      </c>
      <c r="I31" s="122">
        <v>165.48</v>
      </c>
      <c r="J31" s="262"/>
      <c r="K31" s="262"/>
    </row>
    <row r="32" spans="1:11" ht="14.25" customHeight="1">
      <c r="A32" s="351" t="s">
        <v>73</v>
      </c>
      <c r="B32" s="341">
        <v>60</v>
      </c>
      <c r="C32" s="343">
        <v>2996</v>
      </c>
      <c r="D32" s="341">
        <v>0</v>
      </c>
      <c r="E32" s="343">
        <v>0</v>
      </c>
      <c r="F32" s="341">
        <v>60</v>
      </c>
      <c r="G32" s="343">
        <v>2996</v>
      </c>
      <c r="H32" s="122">
        <v>299600</v>
      </c>
      <c r="I32" s="122">
        <f>H32/G32</f>
        <v>100</v>
      </c>
      <c r="J32" s="262"/>
      <c r="K32" s="262"/>
    </row>
    <row r="33" spans="1:11" ht="14.25" customHeight="1">
      <c r="A33" s="351" t="s">
        <v>75</v>
      </c>
      <c r="B33" s="341">
        <v>12</v>
      </c>
      <c r="C33" s="343">
        <v>600</v>
      </c>
      <c r="D33" s="341">
        <v>0</v>
      </c>
      <c r="E33" s="343">
        <v>0</v>
      </c>
      <c r="F33" s="341">
        <v>12</v>
      </c>
      <c r="G33" s="343">
        <v>600</v>
      </c>
      <c r="H33" s="122" t="s">
        <v>608</v>
      </c>
      <c r="I33" s="122">
        <v>318</v>
      </c>
      <c r="J33" s="262"/>
      <c r="K33" s="262"/>
    </row>
    <row r="34" spans="1:11" ht="14.25" customHeight="1">
      <c r="A34" s="351" t="s">
        <v>77</v>
      </c>
      <c r="B34" s="341">
        <v>40</v>
      </c>
      <c r="C34" s="343">
        <v>1994</v>
      </c>
      <c r="D34" s="341">
        <v>20</v>
      </c>
      <c r="E34" s="343">
        <v>998.2</v>
      </c>
      <c r="F34" s="341">
        <v>60</v>
      </c>
      <c r="G34" s="343">
        <v>2992.2</v>
      </c>
      <c r="H34" s="122" t="s">
        <v>609</v>
      </c>
      <c r="I34" s="122">
        <v>180.83</v>
      </c>
      <c r="J34" s="262"/>
      <c r="K34" s="262"/>
    </row>
    <row r="35" spans="1:11" ht="14.25" customHeight="1">
      <c r="A35" s="351" t="s">
        <v>445</v>
      </c>
      <c r="B35" s="341">
        <v>10</v>
      </c>
      <c r="C35" s="343">
        <v>497</v>
      </c>
      <c r="D35" s="341">
        <v>0</v>
      </c>
      <c r="E35" s="343">
        <v>0</v>
      </c>
      <c r="F35" s="341">
        <v>10</v>
      </c>
      <c r="G35" s="343">
        <v>497</v>
      </c>
      <c r="H35" s="122" t="s">
        <v>610</v>
      </c>
      <c r="I35" s="122">
        <v>245</v>
      </c>
      <c r="J35" s="262"/>
      <c r="K35" s="262"/>
    </row>
    <row r="36" spans="1:11" ht="14.25" customHeight="1">
      <c r="A36" s="351" t="s">
        <v>79</v>
      </c>
      <c r="B36" s="341"/>
      <c r="C36" s="343">
        <v>0</v>
      </c>
      <c r="D36" s="341">
        <v>22</v>
      </c>
      <c r="E36" s="343">
        <v>1097.7</v>
      </c>
      <c r="F36" s="341">
        <v>22</v>
      </c>
      <c r="G36" s="343">
        <v>1097.7</v>
      </c>
      <c r="H36" s="122" t="s">
        <v>611</v>
      </c>
      <c r="I36" s="122">
        <v>255.33</v>
      </c>
      <c r="J36" s="262"/>
      <c r="K36" s="262"/>
    </row>
    <row r="37" spans="1:11" ht="14.25" customHeight="1">
      <c r="A37" s="351" t="s">
        <v>221</v>
      </c>
      <c r="B37" s="341">
        <v>170</v>
      </c>
      <c r="C37" s="343">
        <v>8483.5</v>
      </c>
      <c r="D37" s="341">
        <v>100</v>
      </c>
      <c r="E37" s="343">
        <v>4991.2</v>
      </c>
      <c r="F37" s="341">
        <v>270</v>
      </c>
      <c r="G37" s="343">
        <v>13474.7</v>
      </c>
      <c r="H37" s="122" t="s">
        <v>612</v>
      </c>
      <c r="I37" s="122">
        <v>182.34</v>
      </c>
      <c r="J37" s="262"/>
      <c r="K37" s="262"/>
    </row>
    <row r="38" spans="1:11" ht="14.25" customHeight="1">
      <c r="A38" s="351" t="s">
        <v>613</v>
      </c>
      <c r="B38" s="341">
        <v>20</v>
      </c>
      <c r="C38" s="343">
        <v>998.5</v>
      </c>
      <c r="D38" s="341">
        <v>0</v>
      </c>
      <c r="E38" s="343">
        <v>0</v>
      </c>
      <c r="F38" s="341">
        <v>20</v>
      </c>
      <c r="G38" s="343">
        <v>998.5</v>
      </c>
      <c r="H38" s="122" t="s">
        <v>614</v>
      </c>
      <c r="I38" s="122">
        <v>196</v>
      </c>
      <c r="J38" s="262"/>
      <c r="K38" s="262"/>
    </row>
    <row r="39" spans="1:11" ht="14.25" customHeight="1">
      <c r="A39" s="351" t="s">
        <v>146</v>
      </c>
      <c r="B39" s="341">
        <v>20</v>
      </c>
      <c r="C39" s="343">
        <v>998.5</v>
      </c>
      <c r="D39" s="341">
        <v>10</v>
      </c>
      <c r="E39" s="343">
        <v>499.5</v>
      </c>
      <c r="F39" s="341">
        <v>30</v>
      </c>
      <c r="G39" s="343">
        <v>1498</v>
      </c>
      <c r="H39" s="122" t="s">
        <v>615</v>
      </c>
      <c r="I39" s="122">
        <v>184.73</v>
      </c>
      <c r="J39" s="262"/>
      <c r="K39" s="262"/>
    </row>
    <row r="40" spans="1:11" ht="14.25" customHeight="1">
      <c r="A40" s="351" t="s">
        <v>81</v>
      </c>
      <c r="B40" s="341">
        <v>22</v>
      </c>
      <c r="C40" s="343">
        <v>1098.5</v>
      </c>
      <c r="D40" s="341">
        <v>0</v>
      </c>
      <c r="E40" s="343">
        <v>0</v>
      </c>
      <c r="F40" s="341">
        <v>22</v>
      </c>
      <c r="G40" s="343">
        <v>1098.5</v>
      </c>
      <c r="H40" s="122" t="s">
        <v>616</v>
      </c>
      <c r="I40" s="122">
        <v>306.85</v>
      </c>
      <c r="J40" s="262"/>
      <c r="K40" s="262"/>
    </row>
    <row r="41" spans="1:11" ht="14.25" customHeight="1">
      <c r="A41" s="351" t="s">
        <v>83</v>
      </c>
      <c r="B41" s="341">
        <v>500</v>
      </c>
      <c r="C41" s="343">
        <v>24944.5</v>
      </c>
      <c r="D41" s="341">
        <v>40</v>
      </c>
      <c r="E41" s="343">
        <v>1996.3</v>
      </c>
      <c r="F41" s="341">
        <v>540</v>
      </c>
      <c r="G41" s="343">
        <v>26940.8</v>
      </c>
      <c r="H41" s="122" t="s">
        <v>617</v>
      </c>
      <c r="I41" s="122">
        <v>188.57</v>
      </c>
      <c r="J41" s="262"/>
      <c r="K41" s="262"/>
    </row>
    <row r="42" spans="1:11" ht="14.25" customHeight="1">
      <c r="A42" s="351" t="s">
        <v>85</v>
      </c>
      <c r="B42" s="341">
        <v>10</v>
      </c>
      <c r="C42" s="343">
        <v>500</v>
      </c>
      <c r="D42" s="341">
        <v>0</v>
      </c>
      <c r="E42" s="343">
        <v>0</v>
      </c>
      <c r="F42" s="341">
        <v>10</v>
      </c>
      <c r="G42" s="343">
        <v>500</v>
      </c>
      <c r="H42" s="122" t="s">
        <v>618</v>
      </c>
      <c r="I42" s="122">
        <v>275</v>
      </c>
      <c r="J42" s="262"/>
      <c r="K42" s="262"/>
    </row>
    <row r="43" spans="1:11" ht="14.25" customHeight="1">
      <c r="A43" s="351" t="s">
        <v>87</v>
      </c>
      <c r="B43" s="341">
        <v>10</v>
      </c>
      <c r="C43" s="343">
        <v>498.5</v>
      </c>
      <c r="D43" s="341">
        <v>0</v>
      </c>
      <c r="E43" s="343">
        <v>0</v>
      </c>
      <c r="F43" s="341">
        <v>10</v>
      </c>
      <c r="G43" s="343">
        <v>498.5</v>
      </c>
      <c r="H43" s="122">
        <v>64306.5</v>
      </c>
      <c r="I43" s="122">
        <v>129</v>
      </c>
      <c r="J43" s="262"/>
      <c r="K43" s="262"/>
    </row>
    <row r="44" spans="1:11" ht="14.25" customHeight="1">
      <c r="A44" s="351" t="s">
        <v>150</v>
      </c>
      <c r="B44" s="341">
        <v>50</v>
      </c>
      <c r="C44" s="343">
        <v>2492</v>
      </c>
      <c r="D44" s="341">
        <v>35</v>
      </c>
      <c r="E44" s="343">
        <v>1744</v>
      </c>
      <c r="F44" s="341">
        <v>85</v>
      </c>
      <c r="G44" s="343">
        <v>4236</v>
      </c>
      <c r="H44" s="122" t="s">
        <v>619</v>
      </c>
      <c r="I44" s="122">
        <v>193.18</v>
      </c>
      <c r="J44" s="262"/>
      <c r="K44" s="262"/>
    </row>
    <row r="45" spans="1:11" ht="14.25" customHeight="1">
      <c r="A45" s="351" t="s">
        <v>155</v>
      </c>
      <c r="B45" s="341">
        <v>10</v>
      </c>
      <c r="C45" s="343">
        <v>500</v>
      </c>
      <c r="D45" s="341">
        <v>0</v>
      </c>
      <c r="E45" s="343">
        <v>0</v>
      </c>
      <c r="F45" s="341">
        <v>10</v>
      </c>
      <c r="G45" s="343">
        <v>500</v>
      </c>
      <c r="H45" s="122" t="s">
        <v>620</v>
      </c>
      <c r="I45" s="122">
        <v>328</v>
      </c>
      <c r="J45" s="262"/>
      <c r="K45" s="262"/>
    </row>
    <row r="46" spans="1:11" ht="14.25" customHeight="1">
      <c r="A46" s="351" t="s">
        <v>229</v>
      </c>
      <c r="B46" s="341">
        <v>20</v>
      </c>
      <c r="C46" s="343">
        <v>998.5</v>
      </c>
      <c r="D46" s="341">
        <v>0</v>
      </c>
      <c r="E46" s="343">
        <v>0</v>
      </c>
      <c r="F46" s="341">
        <v>20</v>
      </c>
      <c r="G46" s="343">
        <v>998.5</v>
      </c>
      <c r="H46" s="122" t="s">
        <v>621</v>
      </c>
      <c r="I46" s="122">
        <v>123</v>
      </c>
      <c r="J46" s="262"/>
      <c r="K46" s="262"/>
    </row>
    <row r="47" spans="1:11" ht="14.25" customHeight="1">
      <c r="A47" s="351" t="s">
        <v>157</v>
      </c>
      <c r="B47" s="341">
        <v>53</v>
      </c>
      <c r="C47" s="343">
        <v>2644</v>
      </c>
      <c r="D47" s="341">
        <v>0</v>
      </c>
      <c r="E47" s="343">
        <v>0</v>
      </c>
      <c r="F47" s="341">
        <v>53</v>
      </c>
      <c r="G47" s="343">
        <v>2644</v>
      </c>
      <c r="H47" s="122" t="s">
        <v>622</v>
      </c>
      <c r="I47" s="122">
        <v>263.25</v>
      </c>
      <c r="J47" s="262"/>
      <c r="K47" s="262"/>
    </row>
    <row r="48" spans="1:11" ht="14.25" customHeight="1">
      <c r="A48" s="351" t="s">
        <v>94</v>
      </c>
      <c r="B48" s="341"/>
      <c r="C48" s="343">
        <v>0</v>
      </c>
      <c r="D48" s="341">
        <v>60</v>
      </c>
      <c r="E48" s="343">
        <v>2994.8</v>
      </c>
      <c r="F48" s="341">
        <v>60</v>
      </c>
      <c r="G48" s="343">
        <v>2994.8</v>
      </c>
      <c r="H48" s="122" t="s">
        <v>623</v>
      </c>
      <c r="I48" s="122">
        <v>200.42</v>
      </c>
      <c r="J48" s="262"/>
      <c r="K48" s="262"/>
    </row>
    <row r="49" spans="1:11" ht="14.25" customHeight="1">
      <c r="A49" s="351" t="s">
        <v>190</v>
      </c>
      <c r="B49" s="341">
        <v>30</v>
      </c>
      <c r="C49" s="343">
        <v>1495.5</v>
      </c>
      <c r="D49" s="341">
        <v>0</v>
      </c>
      <c r="E49" s="343">
        <v>0</v>
      </c>
      <c r="F49" s="341">
        <v>30</v>
      </c>
      <c r="G49" s="343">
        <v>1495.5</v>
      </c>
      <c r="H49" s="122" t="s">
        <v>624</v>
      </c>
      <c r="I49" s="122">
        <v>122.33</v>
      </c>
      <c r="J49" s="262"/>
      <c r="K49" s="262"/>
    </row>
    <row r="50" spans="1:11" ht="14.25" customHeight="1">
      <c r="A50" s="351" t="s">
        <v>266</v>
      </c>
      <c r="B50" s="341"/>
      <c r="C50" s="343">
        <v>0</v>
      </c>
      <c r="D50" s="341">
        <v>15</v>
      </c>
      <c r="E50" s="343">
        <v>747</v>
      </c>
      <c r="F50" s="341">
        <v>15</v>
      </c>
      <c r="G50" s="343">
        <v>747</v>
      </c>
      <c r="H50" s="122" t="s">
        <v>625</v>
      </c>
      <c r="I50" s="122">
        <v>139</v>
      </c>
      <c r="J50" s="262"/>
      <c r="K50" s="262"/>
    </row>
    <row r="51" spans="1:11" ht="14.25" customHeight="1">
      <c r="A51" s="351" t="s">
        <v>96</v>
      </c>
      <c r="B51" s="341">
        <v>21</v>
      </c>
      <c r="C51" s="343">
        <v>1050</v>
      </c>
      <c r="D51" s="341">
        <v>0</v>
      </c>
      <c r="E51" s="343">
        <v>0</v>
      </c>
      <c r="F51" s="341">
        <v>21</v>
      </c>
      <c r="G51" s="343">
        <v>1050</v>
      </c>
      <c r="H51" s="122" t="s">
        <v>626</v>
      </c>
      <c r="I51" s="122">
        <v>246</v>
      </c>
      <c r="J51" s="262"/>
      <c r="K51" s="262"/>
    </row>
    <row r="52" spans="1:11" ht="14.25" customHeight="1">
      <c r="A52" s="351" t="s">
        <v>98</v>
      </c>
      <c r="B52" s="341">
        <v>30</v>
      </c>
      <c r="C52" s="343">
        <v>1495.5</v>
      </c>
      <c r="D52" s="341">
        <v>0</v>
      </c>
      <c r="E52" s="343">
        <v>0</v>
      </c>
      <c r="F52" s="341">
        <v>30</v>
      </c>
      <c r="G52" s="343">
        <v>1495.5</v>
      </c>
      <c r="H52" s="122">
        <v>290127</v>
      </c>
      <c r="I52" s="122">
        <v>194</v>
      </c>
      <c r="J52" s="262"/>
      <c r="K52" s="262"/>
    </row>
    <row r="53" spans="1:11" ht="14.25" customHeight="1">
      <c r="A53" s="351" t="s">
        <v>237</v>
      </c>
      <c r="B53" s="341">
        <v>60</v>
      </c>
      <c r="C53" s="343">
        <v>2998.5</v>
      </c>
      <c r="D53" s="341">
        <v>0</v>
      </c>
      <c r="E53" s="343">
        <v>0</v>
      </c>
      <c r="F53" s="341">
        <v>60</v>
      </c>
      <c r="G53" s="343">
        <v>2998.5</v>
      </c>
      <c r="H53" s="122" t="s">
        <v>627</v>
      </c>
      <c r="I53" s="122">
        <v>201.83</v>
      </c>
      <c r="J53" s="262"/>
      <c r="K53" s="262"/>
    </row>
    <row r="54" spans="1:11" ht="14.25" customHeight="1">
      <c r="A54" s="351" t="s">
        <v>99</v>
      </c>
      <c r="B54" s="341"/>
      <c r="C54" s="343">
        <v>0</v>
      </c>
      <c r="D54" s="341">
        <v>33</v>
      </c>
      <c r="E54" s="343">
        <v>1645.7</v>
      </c>
      <c r="F54" s="341">
        <v>33</v>
      </c>
      <c r="G54" s="343">
        <v>1645.7</v>
      </c>
      <c r="H54" s="122" t="s">
        <v>628</v>
      </c>
      <c r="I54" s="122">
        <v>279.9</v>
      </c>
      <c r="J54" s="262"/>
      <c r="K54" s="262"/>
    </row>
    <row r="55" spans="1:11" ht="14.25" customHeight="1">
      <c r="A55" s="351" t="s">
        <v>101</v>
      </c>
      <c r="B55" s="341">
        <v>35</v>
      </c>
      <c r="C55" s="343">
        <v>1745.5</v>
      </c>
      <c r="D55" s="341">
        <v>0</v>
      </c>
      <c r="E55" s="343">
        <v>0</v>
      </c>
      <c r="F55" s="341">
        <v>35</v>
      </c>
      <c r="G55" s="343">
        <v>1745.5</v>
      </c>
      <c r="H55" s="122" t="s">
        <v>629</v>
      </c>
      <c r="I55" s="122">
        <v>183.41</v>
      </c>
      <c r="J55" s="262"/>
      <c r="K55" s="262"/>
    </row>
    <row r="56" spans="1:11" ht="14.25" customHeight="1">
      <c r="A56" s="351" t="s">
        <v>552</v>
      </c>
      <c r="B56" s="341">
        <v>10</v>
      </c>
      <c r="C56" s="343">
        <v>498.5</v>
      </c>
      <c r="D56" s="341">
        <v>0</v>
      </c>
      <c r="E56" s="343">
        <v>0</v>
      </c>
      <c r="F56" s="341">
        <v>10</v>
      </c>
      <c r="G56" s="343">
        <v>498.5</v>
      </c>
      <c r="H56" s="122">
        <v>69291.5</v>
      </c>
      <c r="I56" s="122">
        <v>139</v>
      </c>
      <c r="J56" s="262"/>
      <c r="K56" s="262"/>
    </row>
    <row r="57" spans="1:11" ht="14.25" customHeight="1">
      <c r="A57" s="351" t="s">
        <v>194</v>
      </c>
      <c r="B57" s="352">
        <v>10</v>
      </c>
      <c r="C57" s="353">
        <v>500</v>
      </c>
      <c r="D57" s="352">
        <v>0</v>
      </c>
      <c r="E57" s="353">
        <v>0</v>
      </c>
      <c r="F57" s="352">
        <v>10</v>
      </c>
      <c r="G57" s="353">
        <v>500</v>
      </c>
      <c r="H57" s="354" t="s">
        <v>630</v>
      </c>
      <c r="I57" s="354">
        <v>287</v>
      </c>
      <c r="J57" s="262"/>
      <c r="K57" s="262"/>
    </row>
    <row r="58" spans="1:11" ht="14.25" customHeight="1">
      <c r="A58" s="351" t="s">
        <v>14</v>
      </c>
      <c r="B58" s="352">
        <f>4951+60</f>
        <v>5011</v>
      </c>
      <c r="C58" s="353">
        <f>247051.5+2996</f>
        <v>250047.5</v>
      </c>
      <c r="D58" s="352">
        <v>1145</v>
      </c>
      <c r="E58" s="353">
        <v>57148.2</v>
      </c>
      <c r="F58" s="352">
        <f>6096+60</f>
        <v>6156</v>
      </c>
      <c r="G58" s="353">
        <f>304199.7+2996</f>
        <v>307195.7</v>
      </c>
      <c r="H58" s="354">
        <f>60733075.6+299600</f>
        <v>61032675.6</v>
      </c>
      <c r="I58" s="354">
        <f>H58/G58</f>
        <v>198.67685517733483</v>
      </c>
      <c r="J58" s="262"/>
      <c r="K58" s="262"/>
    </row>
    <row r="59" spans="1:10" ht="14.25" customHeight="1">
      <c r="A59" s="329" t="s">
        <v>117</v>
      </c>
      <c r="B59" s="355"/>
      <c r="C59" s="355"/>
      <c r="D59" s="355"/>
      <c r="E59" s="355"/>
      <c r="F59" s="355"/>
      <c r="G59" s="355"/>
      <c r="H59" s="355"/>
      <c r="I59" s="355"/>
      <c r="J59" s="1"/>
    </row>
    <row r="60" spans="1:10" ht="14.25" customHeight="1">
      <c r="A60" s="329" t="s">
        <v>118</v>
      </c>
      <c r="B60" s="355"/>
      <c r="C60" s="342"/>
      <c r="D60" s="355"/>
      <c r="E60" s="117"/>
      <c r="F60" s="356"/>
      <c r="G60" s="357" t="s">
        <v>119</v>
      </c>
      <c r="H60" s="118"/>
      <c r="I60" s="118"/>
      <c r="J60" s="1"/>
    </row>
    <row r="61" spans="1:10" ht="14.25" customHeight="1">
      <c r="A61" s="329" t="s">
        <v>120</v>
      </c>
      <c r="B61" s="355"/>
      <c r="C61" s="342"/>
      <c r="D61" s="355"/>
      <c r="E61" s="114"/>
      <c r="F61" s="117"/>
      <c r="G61" s="358" t="s">
        <v>121</v>
      </c>
      <c r="H61" s="118"/>
      <c r="I61" s="118"/>
      <c r="J61" s="1"/>
    </row>
    <row r="62" spans="1:10" ht="14.25" customHeight="1">
      <c r="A62" s="329" t="s">
        <v>122</v>
      </c>
      <c r="B62" s="355"/>
      <c r="C62" s="342"/>
      <c r="D62" s="355"/>
      <c r="E62" s="117"/>
      <c r="F62" s="355"/>
      <c r="G62" s="342"/>
      <c r="H62" s="118"/>
      <c r="I62" s="118"/>
      <c r="J62" s="1"/>
    </row>
    <row r="63" spans="1:9" ht="14.25" customHeight="1">
      <c r="A63" s="329" t="s">
        <v>123</v>
      </c>
      <c r="B63" s="355"/>
      <c r="C63" s="342"/>
      <c r="D63" s="355"/>
      <c r="E63" s="117"/>
      <c r="F63" s="355"/>
      <c r="G63" s="342"/>
      <c r="H63" s="118"/>
      <c r="I63" s="118"/>
    </row>
    <row r="64" ht="14.25" customHeight="1">
      <c r="A64" s="1"/>
    </row>
    <row r="65" spans="1:9" ht="14.25" customHeight="1">
      <c r="A65" s="41"/>
      <c r="B65" s="42"/>
      <c r="C65" s="44"/>
      <c r="D65" s="42"/>
      <c r="E65" s="44"/>
      <c r="F65" s="42"/>
      <c r="G65" s="44"/>
      <c r="H65" s="47"/>
      <c r="I65" s="47"/>
    </row>
    <row r="66" spans="1:9" ht="14.25" customHeight="1">
      <c r="A66" s="41"/>
      <c r="B66" s="42"/>
      <c r="C66" s="44"/>
      <c r="D66" s="42"/>
      <c r="E66" s="44"/>
      <c r="F66" s="42"/>
      <c r="G66" s="44"/>
      <c r="H66" s="47"/>
      <c r="I66" s="47"/>
    </row>
    <row r="67" spans="1:9" ht="14.25" customHeight="1">
      <c r="A67" s="41"/>
      <c r="B67" s="42"/>
      <c r="C67" s="44"/>
      <c r="D67" s="42"/>
      <c r="E67" s="44"/>
      <c r="F67" s="42"/>
      <c r="G67" s="44"/>
      <c r="H67" s="47"/>
      <c r="I67" s="47"/>
    </row>
    <row r="68" spans="1:9" ht="14.25" customHeight="1">
      <c r="A68" s="41"/>
      <c r="B68" s="42"/>
      <c r="C68" s="44"/>
      <c r="D68" s="42"/>
      <c r="E68" s="44"/>
      <c r="F68" s="42"/>
      <c r="G68" s="44"/>
      <c r="H68" s="47"/>
      <c r="I68" s="47"/>
    </row>
    <row r="69" spans="1:9" ht="14.25" customHeight="1">
      <c r="A69" s="41"/>
      <c r="B69" s="42"/>
      <c r="C69" s="44"/>
      <c r="D69" s="42"/>
      <c r="E69" s="44"/>
      <c r="F69" s="42"/>
      <c r="G69" s="44"/>
      <c r="H69" s="47"/>
      <c r="I69" s="47"/>
    </row>
    <row r="70" spans="1:9" ht="14.25" customHeight="1">
      <c r="A70" s="41"/>
      <c r="B70" s="42"/>
      <c r="C70" s="44"/>
      <c r="D70" s="42"/>
      <c r="E70" s="44"/>
      <c r="F70" s="42"/>
      <c r="G70" s="44"/>
      <c r="H70" s="47"/>
      <c r="I70" s="47"/>
    </row>
    <row r="71" spans="1:9" ht="14.25" customHeight="1">
      <c r="A71" s="41"/>
      <c r="B71" s="42"/>
      <c r="C71" s="44"/>
      <c r="D71" s="42"/>
      <c r="E71" s="44"/>
      <c r="F71" s="42"/>
      <c r="G71" s="44"/>
      <c r="H71" s="47"/>
      <c r="I71" s="47"/>
    </row>
    <row r="72" spans="1:9" ht="14.25" customHeight="1">
      <c r="A72" s="41"/>
      <c r="B72" s="42"/>
      <c r="C72" s="44"/>
      <c r="D72" s="42"/>
      <c r="E72" s="44"/>
      <c r="F72" s="42"/>
      <c r="G72" s="44"/>
      <c r="H72" s="47"/>
      <c r="I72" s="47"/>
    </row>
    <row r="73" spans="1:9" ht="14.2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4.2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4.25" customHeight="1">
      <c r="A75" s="41"/>
      <c r="B75" s="42"/>
      <c r="C75" s="44"/>
      <c r="D75" s="42"/>
      <c r="E75" s="44"/>
      <c r="F75" s="42"/>
      <c r="G75" s="44"/>
      <c r="H75" s="47"/>
      <c r="I75" s="47"/>
    </row>
    <row r="76" spans="1:9" ht="14.25" customHeight="1">
      <c r="A76" s="41"/>
      <c r="B76" s="42"/>
      <c r="C76" s="44"/>
      <c r="D76" s="42"/>
      <c r="E76" s="44"/>
      <c r="F76" s="42"/>
      <c r="G76" s="44"/>
      <c r="H76" s="47"/>
      <c r="I76" s="47"/>
    </row>
    <row r="77" spans="1:9" ht="14.25" customHeight="1">
      <c r="A77" s="41"/>
      <c r="B77" s="42"/>
      <c r="C77" s="44"/>
      <c r="D77" s="42"/>
      <c r="E77" s="44"/>
      <c r="F77" s="42"/>
      <c r="G77" s="44"/>
      <c r="H77" s="47"/>
      <c r="I77" s="47"/>
    </row>
    <row r="78" spans="1:9" ht="14.25" customHeight="1">
      <c r="A78" s="41"/>
      <c r="B78" s="42"/>
      <c r="C78" s="44"/>
      <c r="D78" s="42"/>
      <c r="E78" s="44"/>
      <c r="F78" s="42"/>
      <c r="G78" s="44"/>
      <c r="H78" s="47"/>
      <c r="I78" s="47"/>
    </row>
    <row r="79" spans="1:9" ht="14.25" customHeight="1">
      <c r="A79" s="41"/>
      <c r="B79" s="42"/>
      <c r="C79" s="44"/>
      <c r="D79" s="42"/>
      <c r="E79" s="44"/>
      <c r="F79" s="42"/>
      <c r="G79" s="44"/>
      <c r="H79" s="47"/>
      <c r="I79" s="47"/>
    </row>
    <row r="80" spans="1:9" ht="14.25" customHeight="1">
      <c r="A80" s="41"/>
      <c r="B80" s="42"/>
      <c r="C80" s="44"/>
      <c r="D80" s="42"/>
      <c r="E80" s="44"/>
      <c r="F80" s="42"/>
      <c r="G80" s="44"/>
      <c r="H80" s="47"/>
      <c r="I80" s="47"/>
    </row>
    <row r="81" spans="1:9" ht="14.25" customHeight="1">
      <c r="A81" s="41"/>
      <c r="B81" s="42"/>
      <c r="C81" s="44"/>
      <c r="D81" s="42"/>
      <c r="E81" s="44"/>
      <c r="F81" s="42"/>
      <c r="G81" s="44"/>
      <c r="H81" s="47"/>
      <c r="I81" s="47"/>
    </row>
    <row r="82" spans="1:9" ht="14.25" customHeight="1">
      <c r="A82" s="41"/>
      <c r="B82" s="42"/>
      <c r="C82" s="44"/>
      <c r="D82" s="42"/>
      <c r="E82" s="44"/>
      <c r="F82" s="42"/>
      <c r="G82" s="44"/>
      <c r="H82" s="47"/>
      <c r="I82" s="47"/>
    </row>
    <row r="83" spans="1:9" ht="14.25" customHeight="1">
      <c r="A83" s="41"/>
      <c r="B83" s="42"/>
      <c r="C83" s="44"/>
      <c r="D83" s="42"/>
      <c r="E83" s="44"/>
      <c r="F83" s="42"/>
      <c r="G83" s="44"/>
      <c r="H83" s="47"/>
      <c r="I83" s="47"/>
    </row>
    <row r="84" spans="1:9" ht="14.25" customHeight="1">
      <c r="A84" s="41"/>
      <c r="B84" s="42"/>
      <c r="C84" s="44"/>
      <c r="D84" s="42"/>
      <c r="E84" s="44"/>
      <c r="F84" s="42"/>
      <c r="G84" s="44"/>
      <c r="H84" s="47"/>
      <c r="I84" s="47"/>
    </row>
    <row r="85" spans="1:9" ht="14.25" customHeight="1">
      <c r="A85" s="41"/>
      <c r="B85" s="42"/>
      <c r="C85" s="44"/>
      <c r="D85" s="42"/>
      <c r="E85" s="44"/>
      <c r="F85" s="42"/>
      <c r="G85" s="44"/>
      <c r="H85" s="47"/>
      <c r="I85" s="47"/>
    </row>
    <row r="86" spans="1:9" ht="14.25" customHeight="1">
      <c r="A86" s="41"/>
      <c r="B86" s="42"/>
      <c r="C86" s="44"/>
      <c r="D86" s="42"/>
      <c r="E86" s="44"/>
      <c r="F86" s="42"/>
      <c r="G86" s="44"/>
      <c r="H86" s="47"/>
      <c r="I86" s="47"/>
    </row>
    <row r="87" spans="1:9" ht="14.25" customHeight="1">
      <c r="A87" s="41"/>
      <c r="B87" s="42"/>
      <c r="C87" s="44"/>
      <c r="D87" s="42"/>
      <c r="E87" s="44"/>
      <c r="F87" s="42"/>
      <c r="G87" s="44"/>
      <c r="H87" s="47"/>
      <c r="I87" s="47"/>
    </row>
    <row r="88" spans="1:9" ht="14.25" customHeight="1">
      <c r="A88" s="41"/>
      <c r="B88" s="42"/>
      <c r="C88" s="44"/>
      <c r="D88" s="42"/>
      <c r="E88" s="44"/>
      <c r="F88" s="42"/>
      <c r="G88" s="44"/>
      <c r="H88" s="47"/>
      <c r="I88" s="47"/>
    </row>
    <row r="89" spans="1:9" ht="14.25" customHeight="1">
      <c r="A89" s="41"/>
      <c r="B89" s="42"/>
      <c r="C89" s="44"/>
      <c r="D89" s="42"/>
      <c r="E89" s="44"/>
      <c r="F89" s="42"/>
      <c r="G89" s="44"/>
      <c r="H89" s="47"/>
      <c r="I89" s="47"/>
    </row>
    <row r="90" spans="1:9" ht="14.25" customHeight="1">
      <c r="A90" s="41"/>
      <c r="B90" s="42"/>
      <c r="C90" s="44"/>
      <c r="D90" s="42"/>
      <c r="E90" s="44"/>
      <c r="F90" s="42"/>
      <c r="G90" s="44"/>
      <c r="H90" s="47"/>
      <c r="I90" s="47"/>
    </row>
    <row r="91" spans="1:9" ht="14.25" customHeight="1">
      <c r="A91" s="41"/>
      <c r="B91" s="42"/>
      <c r="C91" s="44"/>
      <c r="D91" s="42"/>
      <c r="E91" s="44"/>
      <c r="F91" s="42"/>
      <c r="G91" s="44"/>
      <c r="H91" s="47"/>
      <c r="I91" s="47"/>
    </row>
    <row r="92" spans="1:9" ht="14.25" customHeight="1">
      <c r="A92" s="41"/>
      <c r="B92" s="42"/>
      <c r="C92" s="44"/>
      <c r="D92" s="42"/>
      <c r="E92" s="44"/>
      <c r="F92" s="42"/>
      <c r="G92" s="44"/>
      <c r="H92" s="47"/>
      <c r="I92" s="47"/>
    </row>
    <row r="93" spans="1:9" ht="14.25" customHeight="1">
      <c r="A93" s="41"/>
      <c r="B93" s="42"/>
      <c r="C93" s="44"/>
      <c r="D93" s="42"/>
      <c r="E93" s="44"/>
      <c r="F93" s="42"/>
      <c r="G93" s="44"/>
      <c r="H93" s="47"/>
      <c r="I93" s="47"/>
    </row>
    <row r="94" spans="1:9" ht="14.25" customHeight="1">
      <c r="A94" s="41"/>
      <c r="B94" s="42"/>
      <c r="C94" s="44"/>
      <c r="D94" s="42"/>
      <c r="E94" s="44"/>
      <c r="F94" s="42"/>
      <c r="G94" s="44"/>
      <c r="H94" s="47"/>
      <c r="I94" s="47"/>
    </row>
    <row r="95" spans="1:9" ht="14.25" customHeight="1">
      <c r="A95" s="41"/>
      <c r="B95" s="42"/>
      <c r="C95" s="44"/>
      <c r="D95" s="42"/>
      <c r="E95" s="44"/>
      <c r="F95" s="42"/>
      <c r="G95" s="44"/>
      <c r="H95" s="47"/>
      <c r="I95" s="47"/>
    </row>
    <row r="96" spans="1:9" ht="14.25" customHeight="1">
      <c r="A96" s="41"/>
      <c r="B96" s="42"/>
      <c r="C96" s="44"/>
      <c r="D96" s="42"/>
      <c r="E96" s="44"/>
      <c r="F96" s="42"/>
      <c r="G96" s="44"/>
      <c r="H96" s="47"/>
      <c r="I96" s="47"/>
    </row>
    <row r="97" spans="1:9" ht="14.25" customHeight="1">
      <c r="A97" s="41"/>
      <c r="B97" s="42"/>
      <c r="C97" s="44"/>
      <c r="D97" s="42"/>
      <c r="E97" s="44"/>
      <c r="F97" s="42"/>
      <c r="G97" s="44"/>
      <c r="H97" s="47"/>
      <c r="I97" s="47"/>
    </row>
    <row r="98" spans="1:9" ht="14.25" customHeight="1">
      <c r="A98" s="41"/>
      <c r="B98" s="42"/>
      <c r="C98" s="44"/>
      <c r="D98" s="42"/>
      <c r="E98" s="44"/>
      <c r="F98" s="42"/>
      <c r="G98" s="44"/>
      <c r="H98" s="47"/>
      <c r="I98" s="47"/>
    </row>
    <row r="99" spans="1:9" ht="14.25" customHeight="1">
      <c r="A99" s="41"/>
      <c r="B99" s="42"/>
      <c r="C99" s="44"/>
      <c r="D99" s="42"/>
      <c r="E99" s="44"/>
      <c r="F99" s="42"/>
      <c r="G99" s="44"/>
      <c r="H99" s="47"/>
      <c r="I99" s="47"/>
    </row>
    <row r="100" spans="1:9" ht="14.25" customHeight="1">
      <c r="A100" s="41"/>
      <c r="B100" s="42"/>
      <c r="C100" s="44"/>
      <c r="D100" s="42"/>
      <c r="E100" s="44"/>
      <c r="F100" s="42"/>
      <c r="G100" s="44"/>
      <c r="H100" s="47"/>
      <c r="I100" s="47"/>
    </row>
    <row r="101" spans="1:9" ht="14.25" customHeight="1">
      <c r="A101" s="41"/>
      <c r="B101" s="42"/>
      <c r="C101" s="44"/>
      <c r="D101" s="42"/>
      <c r="E101" s="44"/>
      <c r="F101" s="42"/>
      <c r="G101" s="44"/>
      <c r="H101" s="47"/>
      <c r="I101" s="47"/>
    </row>
    <row r="102" spans="1:9" ht="14.25" customHeight="1">
      <c r="A102" s="41"/>
      <c r="B102" s="42"/>
      <c r="C102" s="44"/>
      <c r="D102" s="42"/>
      <c r="E102" s="44"/>
      <c r="F102" s="42"/>
      <c r="G102" s="44"/>
      <c r="H102" s="47"/>
      <c r="I102" s="47"/>
    </row>
    <row r="103" spans="1:9" ht="14.25" customHeight="1">
      <c r="A103" s="41"/>
      <c r="B103" s="42"/>
      <c r="C103" s="44"/>
      <c r="D103" s="42"/>
      <c r="E103" s="44"/>
      <c r="F103" s="42"/>
      <c r="G103" s="44"/>
      <c r="H103" s="47"/>
      <c r="I103" s="47"/>
    </row>
    <row r="104" spans="1:9" ht="14.25" customHeight="1">
      <c r="A104" s="41"/>
      <c r="B104" s="42"/>
      <c r="C104" s="44"/>
      <c r="D104" s="42"/>
      <c r="E104" s="44"/>
      <c r="F104" s="42"/>
      <c r="G104" s="44"/>
      <c r="H104" s="47"/>
      <c r="I104" s="47"/>
    </row>
  </sheetData>
  <sheetProtection/>
  <printOptions/>
  <pageMargins left="0.7" right="0.7" top="0.58" bottom="0.2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30.140625" style="296" customWidth="1"/>
    <col min="2" max="2" width="7.140625" style="31" customWidth="1"/>
    <col min="3" max="3" width="10.28125" style="244" customWidth="1"/>
    <col min="4" max="4" width="7.7109375" style="31" customWidth="1"/>
    <col min="5" max="5" width="10.28125" style="244" bestFit="1" customWidth="1"/>
    <col min="6" max="6" width="7.7109375" style="31" customWidth="1"/>
    <col min="7" max="7" width="11.421875" style="244" bestFit="1" customWidth="1"/>
    <col min="8" max="8" width="14.140625" style="48" bestFit="1" customWidth="1"/>
    <col min="9" max="9" width="8.8515625" style="48" customWidth="1"/>
    <col min="10" max="16384" width="8.8515625" style="296" customWidth="1"/>
  </cols>
  <sheetData>
    <row r="1" spans="1:11" ht="13.5" customHeight="1">
      <c r="A1" s="263" t="s">
        <v>537</v>
      </c>
      <c r="B1" s="264"/>
      <c r="C1" s="265"/>
      <c r="D1" s="264"/>
      <c r="E1" s="266"/>
      <c r="F1" s="264"/>
      <c r="G1" s="265"/>
      <c r="H1" s="267"/>
      <c r="I1" s="267"/>
      <c r="J1" s="262"/>
      <c r="K1" s="262"/>
    </row>
    <row r="2" spans="1:11" ht="13.5" customHeight="1">
      <c r="A2" s="263" t="s">
        <v>538</v>
      </c>
      <c r="B2" s="264"/>
      <c r="C2" s="265"/>
      <c r="D2" s="264"/>
      <c r="E2" s="266"/>
      <c r="F2" s="264"/>
      <c r="G2" s="265"/>
      <c r="H2" s="267"/>
      <c r="I2" s="267"/>
      <c r="J2" s="262"/>
      <c r="K2" s="262"/>
    </row>
    <row r="3" spans="1:11" ht="13.5" customHeight="1">
      <c r="A3" s="263" t="s">
        <v>110</v>
      </c>
      <c r="B3" s="264"/>
      <c r="C3" s="265"/>
      <c r="D3" s="264"/>
      <c r="E3" s="266"/>
      <c r="F3" s="264"/>
      <c r="G3" s="265"/>
      <c r="H3" s="267"/>
      <c r="I3" s="267"/>
      <c r="J3" s="262"/>
      <c r="K3" s="262"/>
    </row>
    <row r="4" spans="1:11" ht="13.5" customHeight="1">
      <c r="A4" s="263" t="s">
        <v>5</v>
      </c>
      <c r="B4" s="264"/>
      <c r="C4" s="265"/>
      <c r="D4" s="264"/>
      <c r="E4" s="266"/>
      <c r="F4" s="264"/>
      <c r="G4" s="265"/>
      <c r="H4" s="267"/>
      <c r="I4" s="267"/>
      <c r="J4" s="262"/>
      <c r="K4" s="262"/>
    </row>
    <row r="5" spans="1:11" ht="13.5" customHeight="1">
      <c r="A5" s="263" t="s">
        <v>6</v>
      </c>
      <c r="B5" s="264"/>
      <c r="C5" s="265"/>
      <c r="D5" s="264"/>
      <c r="E5" s="268"/>
      <c r="F5" s="264"/>
      <c r="G5" s="265"/>
      <c r="H5" s="267"/>
      <c r="I5" s="267"/>
      <c r="J5" s="262"/>
      <c r="K5" s="262"/>
    </row>
    <row r="6" spans="1:11" ht="13.5" customHeight="1">
      <c r="A6" s="263" t="s">
        <v>111</v>
      </c>
      <c r="B6" s="264"/>
      <c r="C6" s="265"/>
      <c r="D6" s="264"/>
      <c r="E6" s="266"/>
      <c r="F6" s="264"/>
      <c r="G6" s="265"/>
      <c r="H6" s="267"/>
      <c r="I6" s="267"/>
      <c r="J6" s="262"/>
      <c r="K6" s="262"/>
    </row>
    <row r="7" spans="1:11" ht="13.5" customHeight="1">
      <c r="A7" s="263" t="s">
        <v>112</v>
      </c>
      <c r="B7" s="264"/>
      <c r="C7" s="265"/>
      <c r="D7" s="264"/>
      <c r="E7" s="269" t="s">
        <v>113</v>
      </c>
      <c r="F7" s="264"/>
      <c r="G7" s="265"/>
      <c r="H7" s="267"/>
      <c r="I7" s="267"/>
      <c r="J7" s="262"/>
      <c r="K7" s="262"/>
    </row>
    <row r="8" spans="1:11" ht="13.5" customHeight="1">
      <c r="A8" s="315" t="s">
        <v>539</v>
      </c>
      <c r="B8" s="270"/>
      <c r="C8" s="271"/>
      <c r="D8" s="270"/>
      <c r="E8" s="272"/>
      <c r="F8" s="270"/>
      <c r="G8" s="271"/>
      <c r="H8" s="273"/>
      <c r="I8" s="273"/>
      <c r="J8" s="262"/>
      <c r="K8" s="262"/>
    </row>
    <row r="9" spans="1:11" ht="13.5" customHeight="1">
      <c r="A9" s="274"/>
      <c r="B9" s="275" t="s">
        <v>45</v>
      </c>
      <c r="C9" s="276"/>
      <c r="D9" s="275" t="s">
        <v>46</v>
      </c>
      <c r="E9" s="276"/>
      <c r="F9" s="275"/>
      <c r="G9" s="277" t="s">
        <v>47</v>
      </c>
      <c r="H9" s="278"/>
      <c r="I9" s="278"/>
      <c r="J9" s="262"/>
      <c r="K9" s="262"/>
    </row>
    <row r="10" spans="1:11" ht="13.5" customHeight="1">
      <c r="A10" s="279" t="s">
        <v>461</v>
      </c>
      <c r="B10" s="280" t="s">
        <v>49</v>
      </c>
      <c r="C10" s="281" t="s">
        <v>50</v>
      </c>
      <c r="D10" s="280" t="s">
        <v>49</v>
      </c>
      <c r="E10" s="281" t="s">
        <v>50</v>
      </c>
      <c r="F10" s="280" t="s">
        <v>49</v>
      </c>
      <c r="G10" s="281" t="s">
        <v>50</v>
      </c>
      <c r="H10" s="282" t="s">
        <v>51</v>
      </c>
      <c r="I10" s="282" t="s">
        <v>52</v>
      </c>
      <c r="J10" s="262"/>
      <c r="K10" s="262"/>
    </row>
    <row r="11" spans="1:11" ht="13.5" customHeight="1">
      <c r="A11" s="283" t="s">
        <v>466</v>
      </c>
      <c r="B11" s="311"/>
      <c r="C11" s="294">
        <v>0</v>
      </c>
      <c r="D11" s="312"/>
      <c r="E11" s="288"/>
      <c r="F11" s="312"/>
      <c r="G11" s="288"/>
      <c r="H11" s="284"/>
      <c r="I11" s="295"/>
      <c r="J11" s="262"/>
      <c r="K11" s="262"/>
    </row>
    <row r="12" spans="1:11" ht="13.5" customHeight="1">
      <c r="A12" s="274" t="s">
        <v>14</v>
      </c>
      <c r="B12" s="284">
        <f aca="true" t="shared" si="0" ref="B12:H12">SUM(B11)</f>
        <v>0</v>
      </c>
      <c r="C12" s="277">
        <f t="shared" si="0"/>
        <v>0</v>
      </c>
      <c r="D12" s="275">
        <f t="shared" si="0"/>
        <v>0</v>
      </c>
      <c r="E12" s="277">
        <f t="shared" si="0"/>
        <v>0</v>
      </c>
      <c r="F12" s="275">
        <f t="shared" si="0"/>
        <v>0</v>
      </c>
      <c r="G12" s="277">
        <f t="shared" si="0"/>
        <v>0</v>
      </c>
      <c r="H12" s="284">
        <f t="shared" si="0"/>
        <v>0</v>
      </c>
      <c r="I12" s="284" t="e">
        <f>H12/G12</f>
        <v>#DIV/0!</v>
      </c>
      <c r="J12" s="262"/>
      <c r="K12" s="262"/>
    </row>
    <row r="13" spans="1:11" ht="13.5" customHeight="1">
      <c r="A13" s="279" t="s">
        <v>462</v>
      </c>
      <c r="B13" s="280" t="s">
        <v>49</v>
      </c>
      <c r="C13" s="281" t="s">
        <v>50</v>
      </c>
      <c r="D13" s="280" t="s">
        <v>49</v>
      </c>
      <c r="E13" s="281" t="s">
        <v>50</v>
      </c>
      <c r="F13" s="280" t="s">
        <v>49</v>
      </c>
      <c r="G13" s="281" t="s">
        <v>50</v>
      </c>
      <c r="H13" s="282" t="s">
        <v>51</v>
      </c>
      <c r="I13" s="282" t="s">
        <v>52</v>
      </c>
      <c r="J13" s="262"/>
      <c r="K13" s="262"/>
    </row>
    <row r="14" spans="1:11" ht="13.5" customHeight="1">
      <c r="A14" s="283" t="s">
        <v>53</v>
      </c>
      <c r="B14" s="286">
        <v>1037</v>
      </c>
      <c r="C14" s="294">
        <v>51740.5</v>
      </c>
      <c r="D14" s="287">
        <v>80</v>
      </c>
      <c r="E14" s="288">
        <v>3993.6</v>
      </c>
      <c r="F14" s="312">
        <v>1117</v>
      </c>
      <c r="G14" s="288">
        <v>55734.1</v>
      </c>
      <c r="H14" s="284" t="s">
        <v>562</v>
      </c>
      <c r="I14" s="295">
        <v>195.7</v>
      </c>
      <c r="J14" s="262"/>
      <c r="K14" s="262"/>
    </row>
    <row r="15" spans="1:11" ht="13.5" customHeight="1">
      <c r="A15" s="283" t="s">
        <v>572</v>
      </c>
      <c r="B15" s="287">
        <v>55</v>
      </c>
      <c r="C15" s="294">
        <v>2745.5</v>
      </c>
      <c r="D15" s="287">
        <v>40</v>
      </c>
      <c r="E15" s="288">
        <v>1996.8</v>
      </c>
      <c r="F15" s="312">
        <v>95</v>
      </c>
      <c r="G15" s="288">
        <v>4742.3</v>
      </c>
      <c r="H15" s="284" t="s">
        <v>573</v>
      </c>
      <c r="I15" s="295">
        <v>221</v>
      </c>
      <c r="J15" s="262"/>
      <c r="K15" s="262"/>
    </row>
    <row r="16" spans="1:11" ht="13.5" customHeight="1">
      <c r="A16" s="283" t="s">
        <v>322</v>
      </c>
      <c r="B16" s="287">
        <v>101</v>
      </c>
      <c r="C16" s="294">
        <v>5038</v>
      </c>
      <c r="D16" s="287">
        <v>10</v>
      </c>
      <c r="E16" s="288">
        <v>498.4</v>
      </c>
      <c r="F16" s="312">
        <v>111</v>
      </c>
      <c r="G16" s="288">
        <v>5536.4</v>
      </c>
      <c r="H16" s="284" t="s">
        <v>569</v>
      </c>
      <c r="I16" s="295">
        <v>191.91</v>
      </c>
      <c r="J16" s="262"/>
      <c r="K16" s="262"/>
    </row>
    <row r="17" spans="1:11" ht="13.5" customHeight="1">
      <c r="A17" s="283" t="s">
        <v>168</v>
      </c>
      <c r="B17" s="287">
        <v>10</v>
      </c>
      <c r="C17" s="294">
        <v>498.5</v>
      </c>
      <c r="D17" s="287">
        <v>0</v>
      </c>
      <c r="E17" s="288">
        <v>0</v>
      </c>
      <c r="F17" s="312">
        <v>10</v>
      </c>
      <c r="G17" s="288">
        <v>498.5</v>
      </c>
      <c r="H17" s="284">
        <v>64306.5</v>
      </c>
      <c r="I17" s="295">
        <v>129</v>
      </c>
      <c r="J17" s="262"/>
      <c r="K17" s="262"/>
    </row>
    <row r="18" spans="1:11" ht="13.5" customHeight="1">
      <c r="A18" s="283" t="s">
        <v>128</v>
      </c>
      <c r="B18" s="287">
        <v>20</v>
      </c>
      <c r="C18" s="294">
        <v>997</v>
      </c>
      <c r="D18" s="287">
        <v>15</v>
      </c>
      <c r="E18" s="288">
        <v>748.7</v>
      </c>
      <c r="F18" s="312">
        <v>35</v>
      </c>
      <c r="G18" s="288">
        <v>1745.7</v>
      </c>
      <c r="H18" s="284" t="s">
        <v>558</v>
      </c>
      <c r="I18" s="295">
        <v>162.29</v>
      </c>
      <c r="J18" s="262"/>
      <c r="K18" s="262"/>
    </row>
    <row r="19" spans="1:11" ht="13.5" customHeight="1">
      <c r="A19" s="283" t="s">
        <v>173</v>
      </c>
      <c r="B19" s="287">
        <v>11</v>
      </c>
      <c r="C19" s="294">
        <v>547</v>
      </c>
      <c r="D19" s="287">
        <v>0</v>
      </c>
      <c r="E19" s="288">
        <v>0</v>
      </c>
      <c r="F19" s="312">
        <v>11</v>
      </c>
      <c r="G19" s="288">
        <v>547</v>
      </c>
      <c r="H19" s="284" t="s">
        <v>576</v>
      </c>
      <c r="I19" s="295">
        <v>247</v>
      </c>
      <c r="J19" s="262"/>
      <c r="K19" s="262"/>
    </row>
    <row r="20" spans="1:11" ht="13.5" customHeight="1">
      <c r="A20" s="283" t="s">
        <v>471</v>
      </c>
      <c r="B20" s="287">
        <v>21</v>
      </c>
      <c r="C20" s="294">
        <v>1048.5</v>
      </c>
      <c r="D20" s="287">
        <v>0</v>
      </c>
      <c r="E20" s="288">
        <v>0</v>
      </c>
      <c r="F20" s="312">
        <v>21</v>
      </c>
      <c r="G20" s="288">
        <v>1048.5</v>
      </c>
      <c r="H20" s="284" t="s">
        <v>540</v>
      </c>
      <c r="I20" s="295">
        <v>323.19</v>
      </c>
      <c r="J20" s="262"/>
      <c r="K20" s="262"/>
    </row>
    <row r="21" spans="1:11" ht="13.5" customHeight="1">
      <c r="A21" s="283" t="s">
        <v>205</v>
      </c>
      <c r="B21" s="287">
        <v>30</v>
      </c>
      <c r="C21" s="294">
        <v>1497</v>
      </c>
      <c r="D21" s="287">
        <v>0</v>
      </c>
      <c r="E21" s="288">
        <v>0</v>
      </c>
      <c r="F21" s="312">
        <v>30</v>
      </c>
      <c r="G21" s="288">
        <v>1497</v>
      </c>
      <c r="H21" s="284" t="s">
        <v>563</v>
      </c>
      <c r="I21" s="295">
        <v>138</v>
      </c>
      <c r="J21" s="262"/>
      <c r="K21" s="262"/>
    </row>
    <row r="22" spans="1:11" ht="13.5" customHeight="1">
      <c r="A22" s="283" t="s">
        <v>475</v>
      </c>
      <c r="B22" s="287">
        <v>150</v>
      </c>
      <c r="C22" s="294">
        <v>7485</v>
      </c>
      <c r="D22" s="287">
        <v>0</v>
      </c>
      <c r="E22" s="288">
        <v>0</v>
      </c>
      <c r="F22" s="312">
        <v>150</v>
      </c>
      <c r="G22" s="288">
        <v>7485</v>
      </c>
      <c r="H22" s="284" t="s">
        <v>577</v>
      </c>
      <c r="I22" s="295">
        <v>220.09</v>
      </c>
      <c r="J22" s="262"/>
      <c r="K22" s="262"/>
    </row>
    <row r="23" spans="1:11" ht="13.5" customHeight="1">
      <c r="A23" s="283" t="s">
        <v>63</v>
      </c>
      <c r="B23" s="287">
        <v>21</v>
      </c>
      <c r="C23" s="294">
        <v>1048.5</v>
      </c>
      <c r="D23" s="287">
        <v>0</v>
      </c>
      <c r="E23" s="288">
        <v>0</v>
      </c>
      <c r="F23" s="312">
        <v>21</v>
      </c>
      <c r="G23" s="288">
        <v>1048.5</v>
      </c>
      <c r="H23" s="284" t="s">
        <v>580</v>
      </c>
      <c r="I23" s="295">
        <v>324.15</v>
      </c>
      <c r="J23" s="262"/>
      <c r="K23" s="262"/>
    </row>
    <row r="24" spans="1:11" ht="13.5" customHeight="1">
      <c r="A24" s="283" t="s">
        <v>329</v>
      </c>
      <c r="B24" s="287">
        <v>10</v>
      </c>
      <c r="C24" s="294">
        <v>500</v>
      </c>
      <c r="D24" s="287">
        <v>0</v>
      </c>
      <c r="E24" s="288">
        <v>0</v>
      </c>
      <c r="F24" s="312">
        <v>10</v>
      </c>
      <c r="G24" s="288">
        <v>500</v>
      </c>
      <c r="H24" s="284" t="s">
        <v>560</v>
      </c>
      <c r="I24" s="295">
        <v>321</v>
      </c>
      <c r="J24" s="262"/>
      <c r="K24" s="262"/>
    </row>
    <row r="25" spans="1:11" ht="13.5" customHeight="1">
      <c r="A25" s="283" t="s">
        <v>438</v>
      </c>
      <c r="B25" s="287">
        <v>20</v>
      </c>
      <c r="C25" s="294">
        <v>998.5</v>
      </c>
      <c r="D25" s="287">
        <v>0</v>
      </c>
      <c r="E25" s="288">
        <v>0</v>
      </c>
      <c r="F25" s="312">
        <v>20</v>
      </c>
      <c r="G25" s="288">
        <v>998.5</v>
      </c>
      <c r="H25" s="284" t="s">
        <v>571</v>
      </c>
      <c r="I25" s="295">
        <v>227.5</v>
      </c>
      <c r="J25" s="262"/>
      <c r="K25" s="262"/>
    </row>
    <row r="26" spans="1:11" ht="13.5" customHeight="1">
      <c r="A26" s="283" t="s">
        <v>136</v>
      </c>
      <c r="B26" s="287">
        <v>50</v>
      </c>
      <c r="C26" s="294">
        <v>2485</v>
      </c>
      <c r="D26" s="287">
        <v>0</v>
      </c>
      <c r="E26" s="288">
        <v>0</v>
      </c>
      <c r="F26" s="312">
        <v>50</v>
      </c>
      <c r="G26" s="288">
        <v>2485</v>
      </c>
      <c r="H26" s="284" t="s">
        <v>574</v>
      </c>
      <c r="I26" s="295">
        <v>133.81</v>
      </c>
      <c r="J26" s="262"/>
      <c r="K26" s="262"/>
    </row>
    <row r="27" spans="1:11" ht="13.5" customHeight="1">
      <c r="A27" s="283" t="s">
        <v>67</v>
      </c>
      <c r="B27" s="287">
        <v>60</v>
      </c>
      <c r="C27" s="294">
        <v>2994</v>
      </c>
      <c r="D27" s="287">
        <v>70</v>
      </c>
      <c r="E27" s="288">
        <v>3494.4</v>
      </c>
      <c r="F27" s="312">
        <v>130</v>
      </c>
      <c r="G27" s="288">
        <v>6488.4</v>
      </c>
      <c r="H27" s="284" t="s">
        <v>570</v>
      </c>
      <c r="I27" s="295">
        <v>217.23</v>
      </c>
      <c r="J27" s="262"/>
      <c r="K27" s="262"/>
    </row>
    <row r="28" spans="1:11" ht="13.5" customHeight="1">
      <c r="A28" s="283" t="s">
        <v>541</v>
      </c>
      <c r="B28" s="287">
        <v>31</v>
      </c>
      <c r="C28" s="294">
        <v>1544</v>
      </c>
      <c r="D28" s="287">
        <v>10</v>
      </c>
      <c r="E28" s="288">
        <v>499</v>
      </c>
      <c r="F28" s="312">
        <v>41</v>
      </c>
      <c r="G28" s="288">
        <v>2043</v>
      </c>
      <c r="H28" s="284" t="s">
        <v>542</v>
      </c>
      <c r="I28" s="295">
        <v>228.7</v>
      </c>
      <c r="J28" s="262"/>
      <c r="K28" s="262"/>
    </row>
    <row r="29" spans="1:11" ht="13.5" customHeight="1">
      <c r="A29" s="283" t="s">
        <v>69</v>
      </c>
      <c r="B29" s="287">
        <v>46</v>
      </c>
      <c r="C29" s="294">
        <v>2294</v>
      </c>
      <c r="D29" s="287">
        <v>0</v>
      </c>
      <c r="E29" s="288">
        <v>0</v>
      </c>
      <c r="F29" s="312">
        <v>46</v>
      </c>
      <c r="G29" s="288">
        <v>2294</v>
      </c>
      <c r="H29" s="284" t="s">
        <v>554</v>
      </c>
      <c r="I29" s="295">
        <v>212.22</v>
      </c>
      <c r="J29" s="262"/>
      <c r="K29" s="262"/>
    </row>
    <row r="30" spans="1:11" ht="13.5" customHeight="1">
      <c r="A30" s="283" t="s">
        <v>71</v>
      </c>
      <c r="B30" s="287">
        <v>915</v>
      </c>
      <c r="C30" s="294">
        <v>45683</v>
      </c>
      <c r="D30" s="287">
        <v>195</v>
      </c>
      <c r="E30" s="288">
        <v>9734</v>
      </c>
      <c r="F30" s="312">
        <v>1110</v>
      </c>
      <c r="G30" s="288">
        <v>55417</v>
      </c>
      <c r="H30" s="284" t="s">
        <v>564</v>
      </c>
      <c r="I30" s="295">
        <v>209.65</v>
      </c>
      <c r="J30" s="262"/>
      <c r="K30" s="262"/>
    </row>
    <row r="31" spans="1:11" ht="13.5" customHeight="1">
      <c r="A31" s="283" t="s">
        <v>141</v>
      </c>
      <c r="B31" s="287">
        <v>30</v>
      </c>
      <c r="C31" s="294">
        <v>1492.5</v>
      </c>
      <c r="D31" s="287">
        <v>75</v>
      </c>
      <c r="E31" s="288">
        <v>3741.2</v>
      </c>
      <c r="F31" s="312">
        <v>105</v>
      </c>
      <c r="G31" s="288">
        <v>5233.7</v>
      </c>
      <c r="H31" s="284" t="s">
        <v>555</v>
      </c>
      <c r="I31" s="295">
        <v>145.96</v>
      </c>
      <c r="J31" s="262"/>
      <c r="K31" s="262"/>
    </row>
    <row r="32" spans="1:11" ht="13.5" customHeight="1">
      <c r="A32" s="283" t="s">
        <v>73</v>
      </c>
      <c r="B32" s="287">
        <v>20</v>
      </c>
      <c r="C32" s="294">
        <v>997</v>
      </c>
      <c r="D32" s="287">
        <v>0</v>
      </c>
      <c r="E32" s="288">
        <v>0</v>
      </c>
      <c r="F32" s="312">
        <v>20</v>
      </c>
      <c r="G32" s="288">
        <v>997</v>
      </c>
      <c r="H32" s="284" t="s">
        <v>547</v>
      </c>
      <c r="I32" s="295">
        <v>219</v>
      </c>
      <c r="J32" s="262"/>
      <c r="K32" s="262"/>
    </row>
    <row r="33" spans="1:11" ht="13.5" customHeight="1">
      <c r="A33" s="283" t="s">
        <v>75</v>
      </c>
      <c r="B33" s="287">
        <v>20</v>
      </c>
      <c r="C33" s="294">
        <v>997</v>
      </c>
      <c r="D33" s="287">
        <v>10</v>
      </c>
      <c r="E33" s="288">
        <v>499.2</v>
      </c>
      <c r="F33" s="312">
        <v>30</v>
      </c>
      <c r="G33" s="288">
        <v>1496.2</v>
      </c>
      <c r="H33" s="284" t="s">
        <v>559</v>
      </c>
      <c r="I33" s="295">
        <v>285.33</v>
      </c>
      <c r="J33" s="262"/>
      <c r="K33" s="262"/>
    </row>
    <row r="34" spans="1:11" ht="13.5" customHeight="1">
      <c r="A34" s="283" t="s">
        <v>77</v>
      </c>
      <c r="B34" s="287">
        <v>55</v>
      </c>
      <c r="C34" s="294">
        <v>2741</v>
      </c>
      <c r="D34" s="287">
        <v>20</v>
      </c>
      <c r="E34" s="288">
        <v>998.4</v>
      </c>
      <c r="F34" s="312">
        <v>75</v>
      </c>
      <c r="G34" s="288">
        <v>3739.4</v>
      </c>
      <c r="H34" s="284" t="s">
        <v>556</v>
      </c>
      <c r="I34" s="295">
        <v>174.46</v>
      </c>
      <c r="J34" s="262"/>
      <c r="K34" s="262"/>
    </row>
    <row r="35" spans="1:11" ht="13.5" customHeight="1">
      <c r="A35" s="283" t="s">
        <v>445</v>
      </c>
      <c r="B35" s="287">
        <v>10</v>
      </c>
      <c r="C35" s="294">
        <v>497</v>
      </c>
      <c r="D35" s="287">
        <v>0</v>
      </c>
      <c r="E35" s="288">
        <v>0</v>
      </c>
      <c r="F35" s="312">
        <v>10</v>
      </c>
      <c r="G35" s="288">
        <v>497</v>
      </c>
      <c r="H35" s="284">
        <v>60634</v>
      </c>
      <c r="I35" s="295">
        <v>122</v>
      </c>
      <c r="J35" s="262"/>
      <c r="K35" s="262"/>
    </row>
    <row r="36" spans="1:11" ht="13.5" customHeight="1">
      <c r="A36" s="283" t="s">
        <v>257</v>
      </c>
      <c r="B36" s="287">
        <v>20</v>
      </c>
      <c r="C36" s="294">
        <v>998.5</v>
      </c>
      <c r="D36" s="287">
        <v>0</v>
      </c>
      <c r="E36" s="288">
        <v>0</v>
      </c>
      <c r="F36" s="312">
        <v>20</v>
      </c>
      <c r="G36" s="288">
        <v>998.5</v>
      </c>
      <c r="H36" s="284" t="s">
        <v>581</v>
      </c>
      <c r="I36" s="295">
        <v>241.48</v>
      </c>
      <c r="J36" s="262"/>
      <c r="K36" s="262"/>
    </row>
    <row r="37" spans="1:11" ht="13.5" customHeight="1">
      <c r="A37" s="283" t="s">
        <v>79</v>
      </c>
      <c r="B37" s="274"/>
      <c r="C37" s="294">
        <v>0</v>
      </c>
      <c r="D37" s="287">
        <v>3</v>
      </c>
      <c r="E37" s="322">
        <v>149.5</v>
      </c>
      <c r="F37" s="312">
        <v>3</v>
      </c>
      <c r="G37" s="284">
        <v>149.5</v>
      </c>
      <c r="H37" s="284">
        <v>49185.5</v>
      </c>
      <c r="I37" s="323">
        <v>329</v>
      </c>
      <c r="J37" s="262"/>
      <c r="K37" s="262"/>
    </row>
    <row r="38" spans="1:11" ht="13.5" customHeight="1">
      <c r="A38" s="283" t="s">
        <v>221</v>
      </c>
      <c r="B38" s="287">
        <v>90</v>
      </c>
      <c r="C38" s="294">
        <v>4486.5</v>
      </c>
      <c r="D38" s="287">
        <v>10</v>
      </c>
      <c r="E38" s="288">
        <v>499.2</v>
      </c>
      <c r="F38" s="312">
        <v>100</v>
      </c>
      <c r="G38" s="288">
        <v>4985.7</v>
      </c>
      <c r="H38" s="284" t="s">
        <v>565</v>
      </c>
      <c r="I38" s="295">
        <v>172.1</v>
      </c>
      <c r="J38" s="262"/>
      <c r="K38" s="262"/>
    </row>
    <row r="39" spans="1:11" ht="13.5" customHeight="1">
      <c r="A39" s="283" t="s">
        <v>81</v>
      </c>
      <c r="B39" s="287">
        <v>40</v>
      </c>
      <c r="C39" s="294">
        <v>1995.5</v>
      </c>
      <c r="D39" s="287">
        <v>0</v>
      </c>
      <c r="E39" s="324">
        <v>0</v>
      </c>
      <c r="F39" s="312">
        <v>40</v>
      </c>
      <c r="G39" s="284">
        <v>1995.5</v>
      </c>
      <c r="H39" s="284" t="s">
        <v>583</v>
      </c>
      <c r="I39" s="322">
        <v>158.11</v>
      </c>
      <c r="J39" s="262"/>
      <c r="K39" s="262"/>
    </row>
    <row r="40" spans="1:11" ht="13.5" customHeight="1">
      <c r="A40" s="283" t="s">
        <v>83</v>
      </c>
      <c r="B40" s="287">
        <v>700</v>
      </c>
      <c r="C40" s="294">
        <v>34924.5</v>
      </c>
      <c r="D40" s="287">
        <v>45</v>
      </c>
      <c r="E40" s="288">
        <v>2246</v>
      </c>
      <c r="F40" s="312">
        <v>745</v>
      </c>
      <c r="G40" s="288">
        <v>37170.5</v>
      </c>
      <c r="H40" s="284" t="s">
        <v>548</v>
      </c>
      <c r="I40" s="295">
        <v>188.11</v>
      </c>
      <c r="J40" s="262"/>
      <c r="K40" s="262"/>
    </row>
    <row r="41" spans="1:11" ht="13.5" customHeight="1">
      <c r="A41" s="283" t="s">
        <v>85</v>
      </c>
      <c r="B41" s="287">
        <v>15</v>
      </c>
      <c r="C41" s="294">
        <v>750</v>
      </c>
      <c r="D41" s="287">
        <v>0</v>
      </c>
      <c r="E41" s="288">
        <v>0</v>
      </c>
      <c r="F41" s="312">
        <v>15</v>
      </c>
      <c r="G41" s="288">
        <v>750</v>
      </c>
      <c r="H41" s="284" t="s">
        <v>575</v>
      </c>
      <c r="I41" s="295">
        <v>140</v>
      </c>
      <c r="J41" s="262"/>
      <c r="K41" s="262"/>
    </row>
    <row r="42" spans="1:11" ht="13.5" customHeight="1">
      <c r="A42" s="283" t="s">
        <v>344</v>
      </c>
      <c r="B42" s="287">
        <v>10</v>
      </c>
      <c r="C42" s="294">
        <v>500</v>
      </c>
      <c r="D42" s="287">
        <v>0</v>
      </c>
      <c r="E42" s="288">
        <v>0</v>
      </c>
      <c r="F42" s="312">
        <v>10</v>
      </c>
      <c r="G42" s="288">
        <v>500</v>
      </c>
      <c r="H42" s="284" t="s">
        <v>560</v>
      </c>
      <c r="I42" s="295">
        <v>321</v>
      </c>
      <c r="J42" s="262"/>
      <c r="K42" s="262"/>
    </row>
    <row r="43" spans="1:11" ht="13.5" customHeight="1">
      <c r="A43" s="283" t="s">
        <v>150</v>
      </c>
      <c r="B43" s="287">
        <v>50</v>
      </c>
      <c r="C43" s="294">
        <v>2497</v>
      </c>
      <c r="D43" s="287">
        <v>0</v>
      </c>
      <c r="E43" s="324">
        <v>0</v>
      </c>
      <c r="F43" s="312">
        <v>50</v>
      </c>
      <c r="G43" s="284">
        <v>2497</v>
      </c>
      <c r="H43" s="284" t="s">
        <v>582</v>
      </c>
      <c r="I43" s="322">
        <v>170.05</v>
      </c>
      <c r="J43" s="262"/>
      <c r="K43" s="262"/>
    </row>
    <row r="44" spans="1:11" ht="13.5" customHeight="1">
      <c r="A44" s="283" t="s">
        <v>185</v>
      </c>
      <c r="B44" s="287">
        <v>41</v>
      </c>
      <c r="C44" s="294">
        <v>2041</v>
      </c>
      <c r="D44" s="287">
        <v>0</v>
      </c>
      <c r="E44" s="288">
        <v>0</v>
      </c>
      <c r="F44" s="312">
        <v>41</v>
      </c>
      <c r="G44" s="288">
        <v>2041</v>
      </c>
      <c r="H44" s="284" t="s">
        <v>566</v>
      </c>
      <c r="I44" s="295">
        <v>210.96</v>
      </c>
      <c r="J44" s="262"/>
      <c r="K44" s="262"/>
    </row>
    <row r="45" spans="1:11" ht="13.5" customHeight="1">
      <c r="A45" s="283" t="s">
        <v>226</v>
      </c>
      <c r="B45" s="287">
        <v>20</v>
      </c>
      <c r="C45" s="294">
        <v>995.5</v>
      </c>
      <c r="D45" s="287">
        <v>10</v>
      </c>
      <c r="E45" s="288">
        <v>499</v>
      </c>
      <c r="F45" s="312">
        <v>30</v>
      </c>
      <c r="G45" s="288">
        <v>1494.5</v>
      </c>
      <c r="H45" s="284" t="s">
        <v>549</v>
      </c>
      <c r="I45" s="295">
        <v>175.83</v>
      </c>
      <c r="J45" s="262"/>
      <c r="K45" s="262"/>
    </row>
    <row r="46" spans="1:11" ht="13.5" customHeight="1">
      <c r="A46" s="283" t="s">
        <v>561</v>
      </c>
      <c r="B46" s="274"/>
      <c r="C46" s="294">
        <v>0</v>
      </c>
      <c r="D46" s="287">
        <v>5</v>
      </c>
      <c r="E46" s="288">
        <v>249.5</v>
      </c>
      <c r="F46" s="312">
        <v>5</v>
      </c>
      <c r="G46" s="288">
        <v>249.5</v>
      </c>
      <c r="H46" s="284">
        <v>68113.5</v>
      </c>
      <c r="I46" s="295">
        <v>273</v>
      </c>
      <c r="J46" s="262"/>
      <c r="K46" s="262"/>
    </row>
    <row r="47" spans="1:11" ht="13.5" customHeight="1">
      <c r="A47" s="283" t="s">
        <v>155</v>
      </c>
      <c r="B47" s="287">
        <v>10</v>
      </c>
      <c r="C47" s="294">
        <v>498.5</v>
      </c>
      <c r="D47" s="287">
        <v>0</v>
      </c>
      <c r="E47" s="324">
        <v>0</v>
      </c>
      <c r="F47" s="312">
        <v>10</v>
      </c>
      <c r="G47" s="284">
        <v>498.5</v>
      </c>
      <c r="H47" s="284" t="s">
        <v>584</v>
      </c>
      <c r="I47" s="323">
        <v>216</v>
      </c>
      <c r="J47" s="262"/>
      <c r="K47" s="262"/>
    </row>
    <row r="48" spans="1:11" ht="13.5" customHeight="1">
      <c r="A48" s="283" t="s">
        <v>92</v>
      </c>
      <c r="B48" s="287">
        <v>10</v>
      </c>
      <c r="C48" s="294">
        <v>498.5</v>
      </c>
      <c r="D48" s="287">
        <v>0</v>
      </c>
      <c r="E48" s="288">
        <v>0</v>
      </c>
      <c r="F48" s="312">
        <v>10</v>
      </c>
      <c r="G48" s="288">
        <v>498.5</v>
      </c>
      <c r="H48" s="284" t="s">
        <v>567</v>
      </c>
      <c r="I48" s="295">
        <v>234</v>
      </c>
      <c r="J48" s="262"/>
      <c r="K48" s="262"/>
    </row>
    <row r="49" spans="1:11" ht="13.5" customHeight="1">
      <c r="A49" s="283" t="s">
        <v>229</v>
      </c>
      <c r="B49" s="287">
        <v>90</v>
      </c>
      <c r="C49" s="294">
        <v>4488</v>
      </c>
      <c r="D49" s="287">
        <v>0</v>
      </c>
      <c r="E49" s="288">
        <v>0</v>
      </c>
      <c r="F49" s="312">
        <v>90</v>
      </c>
      <c r="G49" s="288">
        <v>4488</v>
      </c>
      <c r="H49" s="284" t="s">
        <v>550</v>
      </c>
      <c r="I49" s="295">
        <v>130.78</v>
      </c>
      <c r="J49" s="262"/>
      <c r="K49" s="262"/>
    </row>
    <row r="50" spans="1:11" ht="13.5" customHeight="1">
      <c r="A50" s="283" t="s">
        <v>187</v>
      </c>
      <c r="B50" s="287">
        <v>15</v>
      </c>
      <c r="C50" s="294">
        <v>745.5</v>
      </c>
      <c r="D50" s="287">
        <v>0</v>
      </c>
      <c r="E50" s="288">
        <v>0</v>
      </c>
      <c r="F50" s="312">
        <v>15</v>
      </c>
      <c r="G50" s="288">
        <v>745.5</v>
      </c>
      <c r="H50" s="284" t="s">
        <v>557</v>
      </c>
      <c r="I50" s="295">
        <v>192.54</v>
      </c>
      <c r="J50" s="262"/>
      <c r="K50" s="262"/>
    </row>
    <row r="51" spans="1:11" ht="13.5" customHeight="1">
      <c r="A51" s="283" t="s">
        <v>157</v>
      </c>
      <c r="B51" s="287">
        <v>10</v>
      </c>
      <c r="C51" s="294">
        <v>500</v>
      </c>
      <c r="D51" s="287">
        <v>0</v>
      </c>
      <c r="E51" s="288">
        <v>0</v>
      </c>
      <c r="F51" s="312">
        <v>10</v>
      </c>
      <c r="G51" s="288">
        <v>500</v>
      </c>
      <c r="H51" s="284" t="s">
        <v>551</v>
      </c>
      <c r="I51" s="295">
        <v>285</v>
      </c>
      <c r="J51" s="262"/>
      <c r="K51" s="262"/>
    </row>
    <row r="52" spans="1:11" ht="13.5" customHeight="1">
      <c r="A52" s="283" t="s">
        <v>94</v>
      </c>
      <c r="B52" s="274"/>
      <c r="C52" s="294">
        <v>0</v>
      </c>
      <c r="D52" s="287">
        <v>50</v>
      </c>
      <c r="E52" s="325">
        <v>2495.8</v>
      </c>
      <c r="F52" s="312">
        <v>50</v>
      </c>
      <c r="G52" s="284">
        <v>2495.8</v>
      </c>
      <c r="H52" s="284" t="s">
        <v>585</v>
      </c>
      <c r="I52" s="323">
        <v>196.3</v>
      </c>
      <c r="J52" s="262"/>
      <c r="K52" s="262"/>
    </row>
    <row r="53" spans="1:11" ht="13.5" customHeight="1">
      <c r="A53" s="283" t="s">
        <v>96</v>
      </c>
      <c r="B53" s="287">
        <v>45</v>
      </c>
      <c r="C53" s="294">
        <v>2245.5</v>
      </c>
      <c r="D53" s="287">
        <v>0</v>
      </c>
      <c r="E53" s="288">
        <v>0</v>
      </c>
      <c r="F53" s="312">
        <v>45</v>
      </c>
      <c r="G53" s="288">
        <v>2245.5</v>
      </c>
      <c r="H53" s="284" t="s">
        <v>544</v>
      </c>
      <c r="I53" s="295">
        <v>241.36</v>
      </c>
      <c r="J53" s="262"/>
      <c r="K53" s="262"/>
    </row>
    <row r="54" spans="1:11" ht="13.5" customHeight="1">
      <c r="A54" s="283" t="s">
        <v>98</v>
      </c>
      <c r="B54" s="287">
        <v>20</v>
      </c>
      <c r="C54" s="294">
        <f>498.5+497</f>
        <v>995.5</v>
      </c>
      <c r="D54" s="287">
        <v>10</v>
      </c>
      <c r="E54" s="322">
        <v>499.2</v>
      </c>
      <c r="F54" s="312">
        <f>20+10</f>
        <v>30</v>
      </c>
      <c r="G54" s="284">
        <f>997.7+497</f>
        <v>1494.7</v>
      </c>
      <c r="H54" s="284">
        <f>219992.5+88466</f>
        <v>308458.5</v>
      </c>
      <c r="I54" s="323">
        <f>H54/G54</f>
        <v>206.3681675252559</v>
      </c>
      <c r="J54" s="262"/>
      <c r="K54" s="262"/>
    </row>
    <row r="55" spans="1:11" ht="13.5" customHeight="1">
      <c r="A55" s="283" t="s">
        <v>237</v>
      </c>
      <c r="B55" s="287">
        <v>60</v>
      </c>
      <c r="C55" s="294">
        <v>2994</v>
      </c>
      <c r="D55" s="287">
        <v>50</v>
      </c>
      <c r="E55" s="288">
        <v>2493.6</v>
      </c>
      <c r="F55" s="312">
        <v>110</v>
      </c>
      <c r="G55" s="288">
        <v>5487.6</v>
      </c>
      <c r="H55" s="284" t="s">
        <v>568</v>
      </c>
      <c r="I55" s="295">
        <v>192.19</v>
      </c>
      <c r="J55" s="262"/>
      <c r="K55" s="262"/>
    </row>
    <row r="56" spans="1:11" ht="13.5" customHeight="1">
      <c r="A56" s="283" t="s">
        <v>99</v>
      </c>
      <c r="B56" s="274"/>
      <c r="C56" s="294">
        <v>0</v>
      </c>
      <c r="D56" s="287">
        <v>20</v>
      </c>
      <c r="E56" s="288">
        <v>997.7</v>
      </c>
      <c r="F56" s="312">
        <v>20</v>
      </c>
      <c r="G56" s="288">
        <v>997.7</v>
      </c>
      <c r="H56" s="284" t="s">
        <v>545</v>
      </c>
      <c r="I56" s="295">
        <v>255.47</v>
      </c>
      <c r="J56" s="262"/>
      <c r="K56" s="262"/>
    </row>
    <row r="57" spans="1:11" ht="13.5" customHeight="1">
      <c r="A57" s="283" t="s">
        <v>103</v>
      </c>
      <c r="B57" s="287">
        <v>11</v>
      </c>
      <c r="C57" s="294">
        <v>550</v>
      </c>
      <c r="D57" s="287">
        <v>0</v>
      </c>
      <c r="E57" s="288">
        <v>0</v>
      </c>
      <c r="F57" s="312">
        <v>11</v>
      </c>
      <c r="G57" s="288">
        <v>550</v>
      </c>
      <c r="H57" s="284" t="s">
        <v>546</v>
      </c>
      <c r="I57" s="295">
        <v>276</v>
      </c>
      <c r="J57" s="262"/>
      <c r="K57" s="262"/>
    </row>
    <row r="58" spans="1:11" ht="13.5" customHeight="1">
      <c r="A58" s="283" t="s">
        <v>552</v>
      </c>
      <c r="B58" s="287">
        <v>20</v>
      </c>
      <c r="C58" s="294">
        <v>997</v>
      </c>
      <c r="D58" s="287">
        <v>0</v>
      </c>
      <c r="E58" s="288">
        <v>0</v>
      </c>
      <c r="F58" s="312">
        <v>20</v>
      </c>
      <c r="G58" s="288">
        <v>997</v>
      </c>
      <c r="H58" s="284" t="s">
        <v>553</v>
      </c>
      <c r="I58" s="295">
        <v>126.5</v>
      </c>
      <c r="J58" s="262"/>
      <c r="K58" s="262"/>
    </row>
    <row r="59" spans="1:11" ht="13.5" customHeight="1">
      <c r="A59" s="283" t="s">
        <v>578</v>
      </c>
      <c r="B59" s="287">
        <v>10</v>
      </c>
      <c r="C59" s="294">
        <v>500</v>
      </c>
      <c r="D59" s="287">
        <v>10</v>
      </c>
      <c r="E59" s="288">
        <v>499.2</v>
      </c>
      <c r="F59" s="312">
        <v>20</v>
      </c>
      <c r="G59" s="288">
        <v>999.2</v>
      </c>
      <c r="H59" s="284" t="s">
        <v>579</v>
      </c>
      <c r="I59" s="295">
        <v>158.47</v>
      </c>
      <c r="J59" s="262"/>
      <c r="K59" s="262"/>
    </row>
    <row r="60" spans="1:11" ht="13.5" customHeight="1">
      <c r="A60" s="283" t="s">
        <v>395</v>
      </c>
      <c r="B60" s="274"/>
      <c r="C60" s="294">
        <v>0</v>
      </c>
      <c r="D60" s="287">
        <v>5</v>
      </c>
      <c r="E60" s="288">
        <v>249.5</v>
      </c>
      <c r="F60" s="312">
        <v>5</v>
      </c>
      <c r="G60" s="288">
        <v>249.5</v>
      </c>
      <c r="H60" s="284">
        <v>68612.5</v>
      </c>
      <c r="I60" s="295">
        <v>275</v>
      </c>
      <c r="J60" s="262"/>
      <c r="K60" s="262"/>
    </row>
    <row r="61" spans="1:11" ht="13.5" customHeight="1">
      <c r="A61" s="283" t="s">
        <v>194</v>
      </c>
      <c r="B61" s="306">
        <v>26</v>
      </c>
      <c r="C61" s="307">
        <v>1298.5</v>
      </c>
      <c r="D61" s="306">
        <v>0</v>
      </c>
      <c r="E61" s="308">
        <v>0</v>
      </c>
      <c r="F61" s="326">
        <v>26</v>
      </c>
      <c r="G61" s="308">
        <v>1298.5</v>
      </c>
      <c r="H61" s="282" t="s">
        <v>543</v>
      </c>
      <c r="I61" s="309">
        <v>206.6</v>
      </c>
      <c r="J61" s="262"/>
      <c r="K61" s="262"/>
    </row>
    <row r="62" spans="1:10" ht="13.5" customHeight="1">
      <c r="A62" s="283" t="s">
        <v>14</v>
      </c>
      <c r="B62" s="314">
        <v>4036</v>
      </c>
      <c r="C62" s="307" t="s">
        <v>586</v>
      </c>
      <c r="D62" s="306">
        <v>743</v>
      </c>
      <c r="E62" s="327">
        <v>37081.9</v>
      </c>
      <c r="F62" s="326">
        <v>4779</v>
      </c>
      <c r="G62" s="282" t="s">
        <v>587</v>
      </c>
      <c r="H62" s="282" t="s">
        <v>588</v>
      </c>
      <c r="I62" s="328">
        <v>198.3</v>
      </c>
      <c r="J62" s="1"/>
    </row>
    <row r="63" spans="1:10" ht="13.5" customHeight="1">
      <c r="A63" s="263" t="s">
        <v>117</v>
      </c>
      <c r="B63" s="289"/>
      <c r="C63" s="276"/>
      <c r="D63" s="289"/>
      <c r="E63" s="290"/>
      <c r="F63" s="289"/>
      <c r="G63" s="276"/>
      <c r="H63" s="278"/>
      <c r="I63" s="278"/>
      <c r="J63" s="1"/>
    </row>
    <row r="64" spans="1:10" ht="13.5" customHeight="1">
      <c r="A64" s="263" t="s">
        <v>118</v>
      </c>
      <c r="B64" s="289"/>
      <c r="C64" s="276"/>
      <c r="D64" s="289"/>
      <c r="E64" s="290"/>
      <c r="F64" s="291"/>
      <c r="G64" s="292" t="s">
        <v>119</v>
      </c>
      <c r="H64" s="278"/>
      <c r="I64" s="278"/>
      <c r="J64" s="1"/>
    </row>
    <row r="65" spans="1:10" ht="13.5" customHeight="1">
      <c r="A65" s="263" t="s">
        <v>120</v>
      </c>
      <c r="B65" s="289"/>
      <c r="C65" s="276"/>
      <c r="D65" s="289"/>
      <c r="E65" s="1"/>
      <c r="F65" s="290"/>
      <c r="G65" s="293" t="s">
        <v>121</v>
      </c>
      <c r="H65" s="278"/>
      <c r="I65" s="278"/>
      <c r="J65" s="1"/>
    </row>
    <row r="66" spans="1:10" ht="13.5" customHeight="1">
      <c r="A66" s="263" t="s">
        <v>122</v>
      </c>
      <c r="B66" s="289"/>
      <c r="C66" s="276"/>
      <c r="D66" s="289"/>
      <c r="E66" s="290"/>
      <c r="F66" s="289"/>
      <c r="G66" s="276"/>
      <c r="H66" s="278"/>
      <c r="I66" s="278"/>
      <c r="J66" s="1"/>
    </row>
    <row r="67" spans="1:9" ht="13.5" customHeight="1">
      <c r="A67" s="263" t="s">
        <v>123</v>
      </c>
      <c r="B67" s="289"/>
      <c r="C67" s="276"/>
      <c r="D67" s="289"/>
      <c r="E67" s="290"/>
      <c r="F67" s="289"/>
      <c r="G67" s="276"/>
      <c r="H67" s="278"/>
      <c r="I67" s="278"/>
    </row>
    <row r="68" ht="13.5" customHeight="1">
      <c r="A68" s="1"/>
    </row>
    <row r="69" spans="1:9" ht="13.5" customHeight="1">
      <c r="A69" s="41"/>
      <c r="B69" s="42"/>
      <c r="C69" s="44"/>
      <c r="D69" s="42"/>
      <c r="E69" s="44"/>
      <c r="F69" s="42"/>
      <c r="G69" s="44"/>
      <c r="H69" s="47"/>
      <c r="I69" s="47"/>
    </row>
    <row r="70" spans="1:9" ht="13.5" customHeight="1">
      <c r="A70" s="41"/>
      <c r="B70" s="42"/>
      <c r="C70" s="44"/>
      <c r="D70" s="42"/>
      <c r="E70" s="44"/>
      <c r="F70" s="42"/>
      <c r="G70" s="44"/>
      <c r="H70" s="47"/>
      <c r="I70" s="47"/>
    </row>
    <row r="71" spans="1:9" ht="13.5" customHeight="1">
      <c r="A71" s="41"/>
      <c r="B71" s="42"/>
      <c r="C71" s="44"/>
      <c r="D71" s="42"/>
      <c r="E71" s="44"/>
      <c r="F71" s="42"/>
      <c r="G71" s="44"/>
      <c r="H71" s="47"/>
      <c r="I71" s="47"/>
    </row>
    <row r="72" spans="1:9" ht="13.5" customHeight="1">
      <c r="A72" s="41"/>
      <c r="B72" s="42"/>
      <c r="C72" s="44"/>
      <c r="D72" s="42"/>
      <c r="E72" s="44"/>
      <c r="F72" s="42"/>
      <c r="G72" s="44"/>
      <c r="H72" s="47"/>
      <c r="I72" s="47"/>
    </row>
    <row r="73" spans="1:9" ht="13.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3.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3.5" customHeight="1">
      <c r="A75" s="41"/>
      <c r="B75" s="42"/>
      <c r="C75" s="44"/>
      <c r="D75" s="42"/>
      <c r="E75" s="44"/>
      <c r="F75" s="42"/>
      <c r="G75" s="44"/>
      <c r="H75" s="47"/>
      <c r="I75" s="47"/>
    </row>
    <row r="76" spans="1:9" ht="13.5" customHeight="1">
      <c r="A76" s="41"/>
      <c r="B76" s="42"/>
      <c r="C76" s="44"/>
      <c r="D76" s="42"/>
      <c r="E76" s="44"/>
      <c r="F76" s="42"/>
      <c r="G76" s="44"/>
      <c r="H76" s="47"/>
      <c r="I76" s="47"/>
    </row>
    <row r="77" spans="1:9" ht="13.5" customHeight="1">
      <c r="A77" s="41"/>
      <c r="B77" s="42"/>
      <c r="C77" s="44"/>
      <c r="D77" s="42"/>
      <c r="E77" s="44"/>
      <c r="F77" s="42"/>
      <c r="G77" s="44"/>
      <c r="H77" s="47"/>
      <c r="I77" s="47"/>
    </row>
    <row r="78" spans="1:9" ht="13.5" customHeight="1">
      <c r="A78" s="41"/>
      <c r="B78" s="42"/>
      <c r="C78" s="44"/>
      <c r="D78" s="42"/>
      <c r="E78" s="44"/>
      <c r="F78" s="42"/>
      <c r="G78" s="44"/>
      <c r="H78" s="47"/>
      <c r="I78" s="47"/>
    </row>
    <row r="79" spans="1:9" ht="13.5" customHeight="1">
      <c r="A79" s="41"/>
      <c r="B79" s="42"/>
      <c r="C79" s="44"/>
      <c r="D79" s="42"/>
      <c r="E79" s="44"/>
      <c r="F79" s="42"/>
      <c r="G79" s="44"/>
      <c r="H79" s="47"/>
      <c r="I79" s="47"/>
    </row>
    <row r="80" spans="1:9" ht="13.5" customHeight="1">
      <c r="A80" s="41"/>
      <c r="B80" s="42"/>
      <c r="C80" s="44"/>
      <c r="D80" s="42"/>
      <c r="E80" s="44"/>
      <c r="F80" s="42"/>
      <c r="G80" s="44"/>
      <c r="H80" s="47"/>
      <c r="I80" s="47"/>
    </row>
    <row r="81" spans="1:9" ht="13.5" customHeight="1">
      <c r="A81" s="41"/>
      <c r="B81" s="42"/>
      <c r="C81" s="44"/>
      <c r="D81" s="42"/>
      <c r="E81" s="44"/>
      <c r="F81" s="42"/>
      <c r="G81" s="44"/>
      <c r="H81" s="47"/>
      <c r="I81" s="47"/>
    </row>
    <row r="82" spans="1:9" ht="13.5" customHeight="1">
      <c r="A82" s="41"/>
      <c r="B82" s="42"/>
      <c r="C82" s="44"/>
      <c r="D82" s="42"/>
      <c r="E82" s="44"/>
      <c r="F82" s="42"/>
      <c r="G82" s="44"/>
      <c r="H82" s="47"/>
      <c r="I82" s="47"/>
    </row>
    <row r="83" spans="1:9" ht="13.5" customHeight="1">
      <c r="A83" s="41"/>
      <c r="B83" s="42"/>
      <c r="C83" s="44"/>
      <c r="D83" s="42"/>
      <c r="E83" s="44"/>
      <c r="F83" s="42"/>
      <c r="G83" s="44"/>
      <c r="H83" s="47"/>
      <c r="I83" s="47"/>
    </row>
    <row r="84" spans="1:9" ht="13.5" customHeight="1">
      <c r="A84" s="41"/>
      <c r="B84" s="42"/>
      <c r="C84" s="44"/>
      <c r="D84" s="42"/>
      <c r="E84" s="44"/>
      <c r="F84" s="42"/>
      <c r="G84" s="44"/>
      <c r="H84" s="47"/>
      <c r="I84" s="47"/>
    </row>
    <row r="85" spans="1:9" ht="13.5" customHeight="1">
      <c r="A85" s="41"/>
      <c r="B85" s="42"/>
      <c r="C85" s="44"/>
      <c r="D85" s="42"/>
      <c r="E85" s="44"/>
      <c r="F85" s="42"/>
      <c r="G85" s="44"/>
      <c r="H85" s="47"/>
      <c r="I85" s="47"/>
    </row>
    <row r="86" spans="1:9" ht="13.5" customHeight="1">
      <c r="A86" s="41"/>
      <c r="B86" s="42"/>
      <c r="C86" s="44"/>
      <c r="D86" s="42"/>
      <c r="E86" s="44"/>
      <c r="F86" s="42"/>
      <c r="G86" s="44"/>
      <c r="H86" s="47"/>
      <c r="I86" s="47"/>
    </row>
    <row r="87" spans="1:9" ht="13.5" customHeight="1">
      <c r="A87" s="41"/>
      <c r="B87" s="42"/>
      <c r="C87" s="44"/>
      <c r="D87" s="42"/>
      <c r="E87" s="44"/>
      <c r="F87" s="42"/>
      <c r="G87" s="44"/>
      <c r="H87" s="47"/>
      <c r="I87" s="47"/>
    </row>
    <row r="88" spans="1:9" ht="13.5" customHeight="1">
      <c r="A88" s="41"/>
      <c r="B88" s="42"/>
      <c r="C88" s="44"/>
      <c r="D88" s="42"/>
      <c r="E88" s="44"/>
      <c r="F88" s="42"/>
      <c r="G88" s="44"/>
      <c r="H88" s="47"/>
      <c r="I88" s="47"/>
    </row>
    <row r="89" spans="1:9" ht="13.5" customHeight="1">
      <c r="A89" s="41"/>
      <c r="B89" s="42"/>
      <c r="C89" s="44"/>
      <c r="D89" s="42"/>
      <c r="E89" s="44"/>
      <c r="F89" s="42"/>
      <c r="G89" s="44"/>
      <c r="H89" s="47"/>
      <c r="I89" s="47"/>
    </row>
    <row r="90" spans="1:9" ht="13.5" customHeight="1">
      <c r="A90" s="41"/>
      <c r="B90" s="42"/>
      <c r="C90" s="44"/>
      <c r="D90" s="42"/>
      <c r="E90" s="44"/>
      <c r="F90" s="42"/>
      <c r="G90" s="44"/>
      <c r="H90" s="47"/>
      <c r="I90" s="47"/>
    </row>
    <row r="91" spans="1:9" ht="13.5" customHeight="1">
      <c r="A91" s="41"/>
      <c r="B91" s="42"/>
      <c r="C91" s="44"/>
      <c r="D91" s="42"/>
      <c r="E91" s="44"/>
      <c r="F91" s="42"/>
      <c r="G91" s="44"/>
      <c r="H91" s="47"/>
      <c r="I91" s="47"/>
    </row>
    <row r="92" spans="1:9" ht="13.5" customHeight="1">
      <c r="A92" s="41"/>
      <c r="B92" s="42"/>
      <c r="C92" s="44"/>
      <c r="D92" s="42"/>
      <c r="E92" s="44"/>
      <c r="F92" s="42"/>
      <c r="G92" s="44"/>
      <c r="H92" s="47"/>
      <c r="I92" s="47"/>
    </row>
    <row r="93" spans="1:9" ht="13.5" customHeight="1">
      <c r="A93" s="41"/>
      <c r="B93" s="42"/>
      <c r="C93" s="44"/>
      <c r="D93" s="42"/>
      <c r="E93" s="44"/>
      <c r="F93" s="42"/>
      <c r="G93" s="44"/>
      <c r="H93" s="47"/>
      <c r="I93" s="47"/>
    </row>
    <row r="94" spans="1:9" ht="13.5" customHeight="1">
      <c r="A94" s="41"/>
      <c r="B94" s="42"/>
      <c r="C94" s="44"/>
      <c r="D94" s="42"/>
      <c r="E94" s="44"/>
      <c r="F94" s="42"/>
      <c r="G94" s="44"/>
      <c r="H94" s="47"/>
      <c r="I94" s="47"/>
    </row>
    <row r="95" spans="1:9" ht="13.5" customHeight="1">
      <c r="A95" s="41"/>
      <c r="B95" s="42"/>
      <c r="C95" s="44"/>
      <c r="D95" s="42"/>
      <c r="E95" s="44"/>
      <c r="F95" s="42"/>
      <c r="G95" s="44"/>
      <c r="H95" s="47"/>
      <c r="I95" s="47"/>
    </row>
    <row r="96" spans="1:9" ht="13.5" customHeight="1">
      <c r="A96" s="41"/>
      <c r="B96" s="42"/>
      <c r="C96" s="44"/>
      <c r="D96" s="42"/>
      <c r="E96" s="44"/>
      <c r="F96" s="42"/>
      <c r="G96" s="44"/>
      <c r="H96" s="47"/>
      <c r="I96" s="47"/>
    </row>
    <row r="97" spans="1:9" ht="13.5" customHeight="1">
      <c r="A97" s="41"/>
      <c r="B97" s="42"/>
      <c r="C97" s="44"/>
      <c r="D97" s="42"/>
      <c r="E97" s="44"/>
      <c r="F97" s="42"/>
      <c r="G97" s="44"/>
      <c r="H97" s="47"/>
      <c r="I97" s="47"/>
    </row>
    <row r="98" spans="1:9" ht="13.5" customHeight="1">
      <c r="A98" s="41"/>
      <c r="B98" s="42"/>
      <c r="C98" s="44"/>
      <c r="D98" s="42"/>
      <c r="E98" s="44"/>
      <c r="F98" s="42"/>
      <c r="G98" s="44"/>
      <c r="H98" s="47"/>
      <c r="I98" s="47"/>
    </row>
    <row r="99" spans="1:9" ht="13.5" customHeight="1">
      <c r="A99" s="41"/>
      <c r="B99" s="42"/>
      <c r="C99" s="44"/>
      <c r="D99" s="42"/>
      <c r="E99" s="44"/>
      <c r="F99" s="42"/>
      <c r="G99" s="44"/>
      <c r="H99" s="47"/>
      <c r="I99" s="47"/>
    </row>
    <row r="100" spans="1:9" ht="13.5" customHeight="1">
      <c r="A100" s="41"/>
      <c r="B100" s="42"/>
      <c r="C100" s="44"/>
      <c r="D100" s="42"/>
      <c r="E100" s="44"/>
      <c r="F100" s="42"/>
      <c r="G100" s="44"/>
      <c r="H100" s="47"/>
      <c r="I100" s="47"/>
    </row>
    <row r="101" spans="1:9" ht="13.5" customHeight="1">
      <c r="A101" s="41"/>
      <c r="B101" s="42"/>
      <c r="C101" s="44"/>
      <c r="D101" s="42"/>
      <c r="E101" s="44"/>
      <c r="F101" s="42"/>
      <c r="G101" s="44"/>
      <c r="H101" s="47"/>
      <c r="I101" s="47"/>
    </row>
    <row r="102" spans="1:9" ht="13.5" customHeight="1">
      <c r="A102" s="41"/>
      <c r="B102" s="42"/>
      <c r="C102" s="44"/>
      <c r="D102" s="42"/>
      <c r="E102" s="44"/>
      <c r="F102" s="42"/>
      <c r="G102" s="44"/>
      <c r="H102" s="47"/>
      <c r="I102" s="47"/>
    </row>
    <row r="103" spans="1:9" ht="13.5" customHeight="1">
      <c r="A103" s="41"/>
      <c r="B103" s="42"/>
      <c r="C103" s="44"/>
      <c r="D103" s="42"/>
      <c r="E103" s="44"/>
      <c r="F103" s="42"/>
      <c r="G103" s="44"/>
      <c r="H103" s="47"/>
      <c r="I103" s="47"/>
    </row>
    <row r="104" spans="1:9" ht="13.5" customHeight="1">
      <c r="A104" s="41"/>
      <c r="B104" s="42"/>
      <c r="C104" s="44"/>
      <c r="D104" s="42"/>
      <c r="E104" s="44"/>
      <c r="F104" s="42"/>
      <c r="G104" s="44"/>
      <c r="H104" s="47"/>
      <c r="I104" s="47"/>
    </row>
    <row r="105" spans="1:9" ht="13.5" customHeight="1">
      <c r="A105" s="41"/>
      <c r="B105" s="42"/>
      <c r="C105" s="44"/>
      <c r="D105" s="42"/>
      <c r="E105" s="44"/>
      <c r="F105" s="42"/>
      <c r="G105" s="44"/>
      <c r="H105" s="47"/>
      <c r="I105" s="47"/>
    </row>
    <row r="106" spans="1:9" ht="13.5" customHeight="1">
      <c r="A106" s="41"/>
      <c r="B106" s="42"/>
      <c r="C106" s="44"/>
      <c r="D106" s="42"/>
      <c r="E106" s="44"/>
      <c r="F106" s="42"/>
      <c r="G106" s="44"/>
      <c r="H106" s="47"/>
      <c r="I106" s="47"/>
    </row>
    <row r="107" spans="1:9" ht="13.5" customHeight="1">
      <c r="A107" s="41"/>
      <c r="B107" s="42"/>
      <c r="C107" s="44"/>
      <c r="D107" s="42"/>
      <c r="E107" s="44"/>
      <c r="F107" s="42"/>
      <c r="G107" s="44"/>
      <c r="H107" s="47"/>
      <c r="I107" s="47"/>
    </row>
    <row r="108" spans="1:9" ht="13.5" customHeight="1">
      <c r="A108" s="41"/>
      <c r="B108" s="42"/>
      <c r="C108" s="44"/>
      <c r="D108" s="42"/>
      <c r="E108" s="44"/>
      <c r="F108" s="42"/>
      <c r="G108" s="44"/>
      <c r="H108" s="47"/>
      <c r="I108" s="47"/>
    </row>
  </sheetData>
  <sheetProtection/>
  <printOptions/>
  <pageMargins left="0.7" right="0.7" top="0.58" bottom="0.2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0.140625" style="296" customWidth="1"/>
    <col min="2" max="2" width="7.140625" style="31" customWidth="1"/>
    <col min="3" max="3" width="10.28125" style="244" customWidth="1"/>
    <col min="4" max="4" width="7.7109375" style="31" customWidth="1"/>
    <col min="5" max="5" width="10.28125" style="244" bestFit="1" customWidth="1"/>
    <col min="6" max="6" width="7.57421875" style="31" customWidth="1"/>
    <col min="7" max="7" width="11.421875" style="244" bestFit="1" customWidth="1"/>
    <col min="8" max="8" width="14.140625" style="48" bestFit="1" customWidth="1"/>
    <col min="9" max="9" width="8.8515625" style="48" customWidth="1"/>
    <col min="10" max="16384" width="8.8515625" style="296" customWidth="1"/>
  </cols>
  <sheetData>
    <row r="1" spans="1:11" ht="14.25" customHeight="1">
      <c r="A1" s="263" t="s">
        <v>493</v>
      </c>
      <c r="B1" s="264"/>
      <c r="C1" s="265"/>
      <c r="D1" s="264"/>
      <c r="E1" s="266"/>
      <c r="F1" s="264"/>
      <c r="G1" s="265"/>
      <c r="H1" s="267"/>
      <c r="I1" s="267"/>
      <c r="J1" s="262"/>
      <c r="K1" s="262"/>
    </row>
    <row r="2" spans="1:11" ht="14.25" customHeight="1">
      <c r="A2" s="263" t="s">
        <v>494</v>
      </c>
      <c r="B2" s="264"/>
      <c r="C2" s="265"/>
      <c r="D2" s="264"/>
      <c r="E2" s="266"/>
      <c r="F2" s="264"/>
      <c r="G2" s="265"/>
      <c r="H2" s="267"/>
      <c r="I2" s="267"/>
      <c r="J2" s="262"/>
      <c r="K2" s="262"/>
    </row>
    <row r="3" spans="1:11" ht="14.25" customHeight="1">
      <c r="A3" s="263" t="s">
        <v>110</v>
      </c>
      <c r="B3" s="264"/>
      <c r="C3" s="265"/>
      <c r="D3" s="264"/>
      <c r="E3" s="266"/>
      <c r="F3" s="264"/>
      <c r="G3" s="265"/>
      <c r="H3" s="267"/>
      <c r="I3" s="267"/>
      <c r="J3" s="262"/>
      <c r="K3" s="262"/>
    </row>
    <row r="4" spans="1:11" ht="14.25" customHeight="1">
      <c r="A4" s="263" t="s">
        <v>5</v>
      </c>
      <c r="B4" s="264"/>
      <c r="C4" s="265"/>
      <c r="D4" s="264"/>
      <c r="E4" s="266"/>
      <c r="F4" s="264"/>
      <c r="G4" s="265"/>
      <c r="H4" s="267"/>
      <c r="I4" s="267"/>
      <c r="J4" s="262"/>
      <c r="K4" s="262"/>
    </row>
    <row r="5" spans="1:11" ht="14.25" customHeight="1">
      <c r="A5" s="263" t="s">
        <v>6</v>
      </c>
      <c r="B5" s="264"/>
      <c r="C5" s="265"/>
      <c r="D5" s="264"/>
      <c r="E5" s="268"/>
      <c r="F5" s="264"/>
      <c r="G5" s="265"/>
      <c r="H5" s="267"/>
      <c r="I5" s="267"/>
      <c r="J5" s="262"/>
      <c r="K5" s="262"/>
    </row>
    <row r="6" spans="1:11" ht="14.25" customHeight="1">
      <c r="A6" s="263" t="s">
        <v>111</v>
      </c>
      <c r="B6" s="264"/>
      <c r="C6" s="265"/>
      <c r="D6" s="264"/>
      <c r="E6" s="266"/>
      <c r="F6" s="264"/>
      <c r="G6" s="265"/>
      <c r="H6" s="267"/>
      <c r="I6" s="267"/>
      <c r="J6" s="262"/>
      <c r="K6" s="262"/>
    </row>
    <row r="7" spans="1:11" ht="14.25" customHeight="1">
      <c r="A7" s="263" t="s">
        <v>112</v>
      </c>
      <c r="B7" s="264"/>
      <c r="C7" s="265"/>
      <c r="D7" s="264"/>
      <c r="E7" s="269" t="s">
        <v>113</v>
      </c>
      <c r="F7" s="264"/>
      <c r="G7" s="265"/>
      <c r="H7" s="267"/>
      <c r="I7" s="267"/>
      <c r="J7" s="262"/>
      <c r="K7" s="262"/>
    </row>
    <row r="8" spans="1:11" ht="14.25" customHeight="1">
      <c r="A8" s="315" t="s">
        <v>495</v>
      </c>
      <c r="B8" s="270"/>
      <c r="C8" s="271"/>
      <c r="D8" s="270"/>
      <c r="E8" s="272"/>
      <c r="F8" s="270"/>
      <c r="G8" s="271"/>
      <c r="H8" s="273"/>
      <c r="I8" s="273"/>
      <c r="J8" s="262"/>
      <c r="K8" s="262"/>
    </row>
    <row r="9" spans="1:11" ht="14.25" customHeight="1">
      <c r="A9" s="274"/>
      <c r="B9" s="275" t="s">
        <v>45</v>
      </c>
      <c r="C9" s="276"/>
      <c r="D9" s="275" t="s">
        <v>46</v>
      </c>
      <c r="E9" s="276"/>
      <c r="F9" s="275"/>
      <c r="G9" s="277" t="s">
        <v>47</v>
      </c>
      <c r="H9" s="278"/>
      <c r="I9" s="278"/>
      <c r="J9" s="262"/>
      <c r="K9" s="262"/>
    </row>
    <row r="10" spans="1:11" ht="14.25" customHeight="1">
      <c r="A10" s="279" t="s">
        <v>461</v>
      </c>
      <c r="B10" s="280" t="s">
        <v>49</v>
      </c>
      <c r="C10" s="281" t="s">
        <v>50</v>
      </c>
      <c r="D10" s="280" t="s">
        <v>49</v>
      </c>
      <c r="E10" s="281" t="s">
        <v>50</v>
      </c>
      <c r="F10" s="280" t="s">
        <v>49</v>
      </c>
      <c r="G10" s="281" t="s">
        <v>50</v>
      </c>
      <c r="H10" s="282" t="s">
        <v>51</v>
      </c>
      <c r="I10" s="282" t="s">
        <v>52</v>
      </c>
      <c r="J10" s="262"/>
      <c r="K10" s="262"/>
    </row>
    <row r="11" spans="1:11" ht="14.25" customHeight="1">
      <c r="A11" s="283" t="s">
        <v>466</v>
      </c>
      <c r="B11" s="311"/>
      <c r="C11" s="294">
        <v>0</v>
      </c>
      <c r="D11" s="312"/>
      <c r="E11" s="288"/>
      <c r="F11" s="312"/>
      <c r="G11" s="288"/>
      <c r="H11" s="284"/>
      <c r="I11" s="295"/>
      <c r="J11" s="262"/>
      <c r="K11" s="262"/>
    </row>
    <row r="12" spans="1:11" ht="14.25" customHeight="1">
      <c r="A12" s="274" t="s">
        <v>14</v>
      </c>
      <c r="B12" s="284">
        <f aca="true" t="shared" si="0" ref="B12:H12">SUM(B11)</f>
        <v>0</v>
      </c>
      <c r="C12" s="277">
        <f t="shared" si="0"/>
        <v>0</v>
      </c>
      <c r="D12" s="275">
        <f t="shared" si="0"/>
        <v>0</v>
      </c>
      <c r="E12" s="277">
        <f t="shared" si="0"/>
        <v>0</v>
      </c>
      <c r="F12" s="275">
        <f t="shared" si="0"/>
        <v>0</v>
      </c>
      <c r="G12" s="277">
        <f t="shared" si="0"/>
        <v>0</v>
      </c>
      <c r="H12" s="284">
        <f t="shared" si="0"/>
        <v>0</v>
      </c>
      <c r="I12" s="284" t="e">
        <f>H12/G12</f>
        <v>#DIV/0!</v>
      </c>
      <c r="J12" s="262"/>
      <c r="K12" s="262"/>
    </row>
    <row r="13" spans="1:11" ht="14.25" customHeight="1">
      <c r="A13" s="274"/>
      <c r="B13" s="284"/>
      <c r="C13" s="277"/>
      <c r="D13" s="275"/>
      <c r="E13" s="277"/>
      <c r="F13" s="275"/>
      <c r="G13" s="277"/>
      <c r="H13" s="284"/>
      <c r="I13" s="284"/>
      <c r="J13" s="262"/>
      <c r="K13" s="262"/>
    </row>
    <row r="14" spans="1:11" ht="14.25" customHeight="1">
      <c r="A14" s="279" t="s">
        <v>462</v>
      </c>
      <c r="B14" s="280" t="s">
        <v>49</v>
      </c>
      <c r="C14" s="281" t="s">
        <v>50</v>
      </c>
      <c r="D14" s="280" t="s">
        <v>49</v>
      </c>
      <c r="E14" s="281" t="s">
        <v>50</v>
      </c>
      <c r="F14" s="280" t="s">
        <v>49</v>
      </c>
      <c r="G14" s="281" t="s">
        <v>50</v>
      </c>
      <c r="H14" s="282" t="s">
        <v>51</v>
      </c>
      <c r="I14" s="282" t="s">
        <v>52</v>
      </c>
      <c r="J14" s="262"/>
      <c r="K14" s="262"/>
    </row>
    <row r="15" spans="1:11" ht="14.25" customHeight="1">
      <c r="A15" s="283" t="s">
        <v>319</v>
      </c>
      <c r="B15" s="287">
        <v>10</v>
      </c>
      <c r="C15" s="294">
        <v>498.5</v>
      </c>
      <c r="D15" s="287">
        <v>0</v>
      </c>
      <c r="E15" s="288">
        <v>0</v>
      </c>
      <c r="F15" s="287">
        <v>10</v>
      </c>
      <c r="G15" s="288">
        <v>498.5</v>
      </c>
      <c r="H15" s="284">
        <v>74775</v>
      </c>
      <c r="I15" s="284">
        <v>150</v>
      </c>
      <c r="J15" s="262"/>
      <c r="K15" s="262"/>
    </row>
    <row r="16" spans="1:11" ht="14.25" customHeight="1">
      <c r="A16" s="283" t="s">
        <v>53</v>
      </c>
      <c r="B16" s="286">
        <v>1260</v>
      </c>
      <c r="C16" s="294">
        <v>62854.5</v>
      </c>
      <c r="D16" s="287">
        <v>80</v>
      </c>
      <c r="E16" s="288">
        <v>3993.6</v>
      </c>
      <c r="F16" s="286">
        <v>1340</v>
      </c>
      <c r="G16" s="288">
        <v>66848.1</v>
      </c>
      <c r="H16" s="284" t="s">
        <v>496</v>
      </c>
      <c r="I16" s="284">
        <v>186.43</v>
      </c>
      <c r="J16" s="262"/>
      <c r="K16" s="262"/>
    </row>
    <row r="17" spans="1:11" ht="14.25" customHeight="1">
      <c r="A17" s="283" t="s">
        <v>497</v>
      </c>
      <c r="B17" s="287">
        <v>50</v>
      </c>
      <c r="C17" s="294">
        <v>2485</v>
      </c>
      <c r="D17" s="287">
        <v>0</v>
      </c>
      <c r="E17" s="288">
        <v>0</v>
      </c>
      <c r="F17" s="287">
        <v>50</v>
      </c>
      <c r="G17" s="288">
        <v>2485</v>
      </c>
      <c r="H17" s="284" t="s">
        <v>498</v>
      </c>
      <c r="I17" s="284">
        <v>120.2</v>
      </c>
      <c r="J17" s="262"/>
      <c r="K17" s="262"/>
    </row>
    <row r="18" spans="1:11" ht="14.25" customHeight="1">
      <c r="A18" s="283" t="s">
        <v>128</v>
      </c>
      <c r="B18" s="287">
        <v>65</v>
      </c>
      <c r="C18" s="294">
        <v>3239.5</v>
      </c>
      <c r="D18" s="287">
        <v>103</v>
      </c>
      <c r="E18" s="288">
        <v>5138</v>
      </c>
      <c r="F18" s="287">
        <v>168</v>
      </c>
      <c r="G18" s="288">
        <v>8377.5</v>
      </c>
      <c r="H18" s="284" t="s">
        <v>499</v>
      </c>
      <c r="I18" s="284">
        <v>184.65</v>
      </c>
      <c r="J18" s="262"/>
      <c r="K18" s="262"/>
    </row>
    <row r="19" spans="1:11" ht="14.25" customHeight="1">
      <c r="A19" s="283" t="s">
        <v>173</v>
      </c>
      <c r="B19" s="274"/>
      <c r="C19" s="294">
        <v>0</v>
      </c>
      <c r="D19" s="287">
        <v>37</v>
      </c>
      <c r="E19" s="288">
        <v>1842.3</v>
      </c>
      <c r="F19" s="287">
        <v>37</v>
      </c>
      <c r="G19" s="288">
        <v>1842.3</v>
      </c>
      <c r="H19" s="284" t="s">
        <v>500</v>
      </c>
      <c r="I19" s="284">
        <v>139.06</v>
      </c>
      <c r="J19" s="262"/>
      <c r="K19" s="262"/>
    </row>
    <row r="20" spans="1:11" ht="14.25" customHeight="1">
      <c r="A20" s="283" t="s">
        <v>205</v>
      </c>
      <c r="B20" s="287">
        <v>50</v>
      </c>
      <c r="C20" s="294">
        <v>2485</v>
      </c>
      <c r="D20" s="287">
        <v>0</v>
      </c>
      <c r="E20" s="288">
        <v>0</v>
      </c>
      <c r="F20" s="287">
        <v>50</v>
      </c>
      <c r="G20" s="288">
        <v>2485</v>
      </c>
      <c r="H20" s="284" t="s">
        <v>501</v>
      </c>
      <c r="I20" s="284">
        <v>121.4</v>
      </c>
      <c r="J20" s="262"/>
      <c r="K20" s="262"/>
    </row>
    <row r="21" spans="1:11" ht="14.25" customHeight="1">
      <c r="A21" s="283" t="s">
        <v>174</v>
      </c>
      <c r="B21" s="287">
        <v>112</v>
      </c>
      <c r="C21" s="294">
        <v>5595.5</v>
      </c>
      <c r="D21" s="287">
        <v>0</v>
      </c>
      <c r="E21" s="288">
        <v>0</v>
      </c>
      <c r="F21" s="287">
        <v>112</v>
      </c>
      <c r="G21" s="288">
        <v>5595.5</v>
      </c>
      <c r="H21" s="284" t="s">
        <v>502</v>
      </c>
      <c r="I21" s="284">
        <v>227.5</v>
      </c>
      <c r="J21" s="262"/>
      <c r="K21" s="262"/>
    </row>
    <row r="22" spans="1:11" ht="14.25" customHeight="1">
      <c r="A22" s="283" t="s">
        <v>130</v>
      </c>
      <c r="B22" s="287">
        <v>10</v>
      </c>
      <c r="C22" s="294">
        <v>498.5</v>
      </c>
      <c r="D22" s="287">
        <v>0</v>
      </c>
      <c r="E22" s="288">
        <v>0</v>
      </c>
      <c r="F22" s="287">
        <v>10</v>
      </c>
      <c r="G22" s="288">
        <v>498.5</v>
      </c>
      <c r="H22" s="284">
        <v>68793</v>
      </c>
      <c r="I22" s="284">
        <v>138</v>
      </c>
      <c r="J22" s="262"/>
      <c r="K22" s="262"/>
    </row>
    <row r="23" spans="1:11" ht="14.25" customHeight="1">
      <c r="A23" s="283" t="s">
        <v>475</v>
      </c>
      <c r="B23" s="287">
        <v>155</v>
      </c>
      <c r="C23" s="294">
        <v>7732</v>
      </c>
      <c r="D23" s="287">
        <v>0</v>
      </c>
      <c r="E23" s="288">
        <v>0</v>
      </c>
      <c r="F23" s="287">
        <v>155</v>
      </c>
      <c r="G23" s="288">
        <v>7732</v>
      </c>
      <c r="H23" s="284" t="s">
        <v>503</v>
      </c>
      <c r="I23" s="284">
        <v>209.47</v>
      </c>
      <c r="J23" s="262"/>
      <c r="K23" s="262"/>
    </row>
    <row r="24" spans="1:11" ht="14.25" customHeight="1">
      <c r="A24" s="283" t="s">
        <v>61</v>
      </c>
      <c r="B24" s="287">
        <v>20</v>
      </c>
      <c r="C24" s="294">
        <v>994</v>
      </c>
      <c r="D24" s="287">
        <v>0</v>
      </c>
      <c r="E24" s="288">
        <v>0</v>
      </c>
      <c r="F24" s="287">
        <v>20</v>
      </c>
      <c r="G24" s="288">
        <v>994</v>
      </c>
      <c r="H24" s="284" t="s">
        <v>504</v>
      </c>
      <c r="I24" s="284">
        <v>120</v>
      </c>
      <c r="J24" s="262"/>
      <c r="K24" s="262"/>
    </row>
    <row r="25" spans="1:11" ht="14.25" customHeight="1">
      <c r="A25" s="283" t="s">
        <v>63</v>
      </c>
      <c r="B25" s="287">
        <f>40+52</f>
        <v>92</v>
      </c>
      <c r="C25" s="294">
        <f>1991+2589.5</f>
        <v>4580.5</v>
      </c>
      <c r="D25" s="287">
        <v>0</v>
      </c>
      <c r="E25" s="288">
        <v>0</v>
      </c>
      <c r="F25" s="287">
        <f>40+52</f>
        <v>92</v>
      </c>
      <c r="G25" s="288">
        <f>1991+2589.5</f>
        <v>4580.5</v>
      </c>
      <c r="H25" s="284">
        <f>254866+535478.5</f>
        <v>790344.5</v>
      </c>
      <c r="I25" s="284">
        <f>H25/G25</f>
        <v>172.54546446894443</v>
      </c>
      <c r="J25" s="262"/>
      <c r="K25" s="262"/>
    </row>
    <row r="26" spans="1:11" ht="14.25" customHeight="1">
      <c r="A26" s="283" t="s">
        <v>329</v>
      </c>
      <c r="B26" s="287">
        <v>11</v>
      </c>
      <c r="C26" s="294">
        <v>548.5</v>
      </c>
      <c r="D26" s="287">
        <v>0</v>
      </c>
      <c r="E26" s="288">
        <v>0</v>
      </c>
      <c r="F26" s="287">
        <v>11</v>
      </c>
      <c r="G26" s="288">
        <v>548.5</v>
      </c>
      <c r="H26" s="284" t="s">
        <v>505</v>
      </c>
      <c r="I26" s="284">
        <v>316</v>
      </c>
      <c r="J26" s="262"/>
      <c r="K26" s="262"/>
    </row>
    <row r="27" spans="1:11" ht="14.25" customHeight="1">
      <c r="A27" s="283" t="s">
        <v>136</v>
      </c>
      <c r="B27" s="287">
        <v>50</v>
      </c>
      <c r="C27" s="294">
        <v>2495.5</v>
      </c>
      <c r="D27" s="287">
        <v>0</v>
      </c>
      <c r="E27" s="288">
        <v>0</v>
      </c>
      <c r="F27" s="287">
        <v>50</v>
      </c>
      <c r="G27" s="288">
        <v>2495.5</v>
      </c>
      <c r="H27" s="284" t="s">
        <v>506</v>
      </c>
      <c r="I27" s="284">
        <v>131.21</v>
      </c>
      <c r="J27" s="262"/>
      <c r="K27" s="262"/>
    </row>
    <row r="28" spans="1:11" ht="14.25" customHeight="1">
      <c r="A28" s="283" t="s">
        <v>67</v>
      </c>
      <c r="B28" s="287">
        <v>30</v>
      </c>
      <c r="C28" s="294">
        <v>1495.5</v>
      </c>
      <c r="D28" s="287">
        <v>70</v>
      </c>
      <c r="E28" s="288">
        <v>3494.4</v>
      </c>
      <c r="F28" s="287">
        <v>100</v>
      </c>
      <c r="G28" s="288">
        <v>4989.9</v>
      </c>
      <c r="H28" s="284" t="s">
        <v>507</v>
      </c>
      <c r="I28" s="284">
        <v>201</v>
      </c>
      <c r="J28" s="262"/>
      <c r="K28" s="262"/>
    </row>
    <row r="29" spans="1:11" ht="14.25" customHeight="1">
      <c r="A29" s="283" t="s">
        <v>69</v>
      </c>
      <c r="B29" s="287">
        <v>60</v>
      </c>
      <c r="C29" s="294">
        <v>2995.5</v>
      </c>
      <c r="D29" s="287">
        <v>0</v>
      </c>
      <c r="E29" s="288">
        <v>0</v>
      </c>
      <c r="F29" s="287">
        <v>60</v>
      </c>
      <c r="G29" s="288">
        <v>2995.5</v>
      </c>
      <c r="H29" s="284" t="s">
        <v>508</v>
      </c>
      <c r="I29" s="284">
        <v>216.52</v>
      </c>
      <c r="J29" s="262"/>
      <c r="K29" s="262"/>
    </row>
    <row r="30" spans="1:11" ht="14.25" customHeight="1">
      <c r="A30" s="283" t="s">
        <v>71</v>
      </c>
      <c r="B30" s="286">
        <v>1140</v>
      </c>
      <c r="C30" s="294">
        <v>56863.5</v>
      </c>
      <c r="D30" s="287">
        <v>209</v>
      </c>
      <c r="E30" s="288">
        <v>10433.4</v>
      </c>
      <c r="F30" s="286">
        <v>1349</v>
      </c>
      <c r="G30" s="288">
        <v>67296.9</v>
      </c>
      <c r="H30" s="284" t="s">
        <v>509</v>
      </c>
      <c r="I30" s="284">
        <v>186.25</v>
      </c>
      <c r="J30" s="262"/>
      <c r="K30" s="262"/>
    </row>
    <row r="31" spans="1:11" ht="14.25" customHeight="1">
      <c r="A31" s="283" t="s">
        <v>141</v>
      </c>
      <c r="B31" s="287">
        <v>60</v>
      </c>
      <c r="C31" s="294">
        <v>2989.5</v>
      </c>
      <c r="D31" s="287">
        <v>80</v>
      </c>
      <c r="E31" s="288">
        <v>3990.4</v>
      </c>
      <c r="F31" s="287">
        <v>140</v>
      </c>
      <c r="G31" s="288">
        <v>6979.9</v>
      </c>
      <c r="H31" s="284" t="s">
        <v>510</v>
      </c>
      <c r="I31" s="284">
        <v>172.18</v>
      </c>
      <c r="J31" s="262"/>
      <c r="K31" s="262"/>
    </row>
    <row r="32" spans="1:11" ht="14.25" customHeight="1">
      <c r="A32" s="283" t="s">
        <v>73</v>
      </c>
      <c r="B32" s="287">
        <v>10</v>
      </c>
      <c r="C32" s="294">
        <v>498.5</v>
      </c>
      <c r="D32" s="287">
        <v>0</v>
      </c>
      <c r="E32" s="288">
        <v>0</v>
      </c>
      <c r="F32" s="287">
        <v>10</v>
      </c>
      <c r="G32" s="288">
        <v>498.5</v>
      </c>
      <c r="H32" s="284" t="s">
        <v>511</v>
      </c>
      <c r="I32" s="284">
        <v>206</v>
      </c>
      <c r="J32" s="262"/>
      <c r="K32" s="262"/>
    </row>
    <row r="33" spans="1:11" ht="14.25" customHeight="1">
      <c r="A33" s="283" t="s">
        <v>77</v>
      </c>
      <c r="B33" s="287">
        <v>130</v>
      </c>
      <c r="C33" s="294">
        <v>6468.5</v>
      </c>
      <c r="D33" s="287">
        <f>65+10</f>
        <v>75</v>
      </c>
      <c r="E33" s="288">
        <f>3242.3+498.4</f>
        <v>3740.7000000000003</v>
      </c>
      <c r="F33" s="287">
        <f>195+10</f>
        <v>205</v>
      </c>
      <c r="G33" s="288">
        <f>9710.8+498.4</f>
        <v>10209.199999999999</v>
      </c>
      <c r="H33" s="284">
        <f>1558847.8+72766.4</f>
        <v>1631614.2</v>
      </c>
      <c r="I33" s="284">
        <f>H33/G33</f>
        <v>159.81802687771815</v>
      </c>
      <c r="J33" s="262"/>
      <c r="K33" s="262"/>
    </row>
    <row r="34" spans="1:11" ht="14.25" customHeight="1">
      <c r="A34" s="283" t="s">
        <v>445</v>
      </c>
      <c r="B34" s="287">
        <v>20</v>
      </c>
      <c r="C34" s="294">
        <v>995.5</v>
      </c>
      <c r="D34" s="287">
        <v>0</v>
      </c>
      <c r="E34" s="288">
        <v>0</v>
      </c>
      <c r="F34" s="287">
        <v>20</v>
      </c>
      <c r="G34" s="288">
        <v>995.5</v>
      </c>
      <c r="H34" s="284" t="s">
        <v>512</v>
      </c>
      <c r="I34" s="284">
        <v>123.51</v>
      </c>
      <c r="J34" s="262"/>
      <c r="K34" s="262"/>
    </row>
    <row r="35" spans="1:11" ht="14.25" customHeight="1">
      <c r="A35" s="283" t="s">
        <v>221</v>
      </c>
      <c r="B35" s="287">
        <v>165</v>
      </c>
      <c r="C35" s="294">
        <v>8233.5</v>
      </c>
      <c r="D35" s="287">
        <v>60</v>
      </c>
      <c r="E35" s="288">
        <v>2992.8</v>
      </c>
      <c r="F35" s="287">
        <v>225</v>
      </c>
      <c r="G35" s="288">
        <v>11226.3</v>
      </c>
      <c r="H35" s="284" t="s">
        <v>513</v>
      </c>
      <c r="I35" s="284">
        <v>167.59</v>
      </c>
      <c r="J35" s="262"/>
      <c r="K35" s="262"/>
    </row>
    <row r="36" spans="1:11" ht="14.25" customHeight="1">
      <c r="A36" s="283" t="s">
        <v>81</v>
      </c>
      <c r="B36" s="287">
        <v>10</v>
      </c>
      <c r="C36" s="294">
        <v>498.5</v>
      </c>
      <c r="D36" s="287">
        <v>0</v>
      </c>
      <c r="E36" s="288">
        <v>0</v>
      </c>
      <c r="F36" s="287">
        <v>10</v>
      </c>
      <c r="G36" s="288">
        <v>498.5</v>
      </c>
      <c r="H36" s="284" t="s">
        <v>514</v>
      </c>
      <c r="I36" s="284">
        <v>285</v>
      </c>
      <c r="J36" s="262"/>
      <c r="K36" s="262"/>
    </row>
    <row r="37" spans="1:11" ht="14.25" customHeight="1">
      <c r="A37" s="283" t="s">
        <v>83</v>
      </c>
      <c r="B37" s="287">
        <v>305</v>
      </c>
      <c r="C37" s="294">
        <v>15206.5</v>
      </c>
      <c r="D37" s="287">
        <v>90</v>
      </c>
      <c r="E37" s="288">
        <v>4492.8</v>
      </c>
      <c r="F37" s="287">
        <v>395</v>
      </c>
      <c r="G37" s="288">
        <v>19699.3</v>
      </c>
      <c r="H37" s="284" t="s">
        <v>515</v>
      </c>
      <c r="I37" s="284">
        <v>195.35</v>
      </c>
      <c r="J37" s="262"/>
      <c r="K37" s="262"/>
    </row>
    <row r="38" spans="1:11" ht="14.25" customHeight="1">
      <c r="A38" s="283" t="s">
        <v>85</v>
      </c>
      <c r="B38" s="274"/>
      <c r="C38" s="294">
        <v>0</v>
      </c>
      <c r="D38" s="287">
        <v>10</v>
      </c>
      <c r="E38" s="288">
        <v>499.3</v>
      </c>
      <c r="F38" s="287">
        <v>10</v>
      </c>
      <c r="G38" s="288">
        <v>499.3</v>
      </c>
      <c r="H38" s="284" t="s">
        <v>516</v>
      </c>
      <c r="I38" s="284">
        <v>263.96</v>
      </c>
      <c r="J38" s="262"/>
      <c r="K38" s="262"/>
    </row>
    <row r="39" spans="1:11" ht="14.25" customHeight="1">
      <c r="A39" s="283" t="s">
        <v>87</v>
      </c>
      <c r="B39" s="287">
        <v>20</v>
      </c>
      <c r="C39" s="294">
        <v>997</v>
      </c>
      <c r="D39" s="287">
        <v>0</v>
      </c>
      <c r="E39" s="288">
        <v>0</v>
      </c>
      <c r="F39" s="287">
        <v>20</v>
      </c>
      <c r="G39" s="288">
        <v>997</v>
      </c>
      <c r="H39" s="284" t="s">
        <v>517</v>
      </c>
      <c r="I39" s="284">
        <v>120</v>
      </c>
      <c r="J39" s="262"/>
      <c r="K39" s="262"/>
    </row>
    <row r="40" spans="1:11" ht="14.25" customHeight="1">
      <c r="A40" s="283" t="s">
        <v>150</v>
      </c>
      <c r="B40" s="287">
        <v>95</v>
      </c>
      <c r="C40" s="294">
        <v>4735</v>
      </c>
      <c r="D40" s="287">
        <v>30</v>
      </c>
      <c r="E40" s="288">
        <v>1495.2</v>
      </c>
      <c r="F40" s="287">
        <v>125</v>
      </c>
      <c r="G40" s="288">
        <v>6230.2</v>
      </c>
      <c r="H40" s="284" t="s">
        <v>518</v>
      </c>
      <c r="I40" s="284">
        <v>141.51</v>
      </c>
      <c r="J40" s="262"/>
      <c r="K40" s="262"/>
    </row>
    <row r="41" spans="1:11" ht="14.25" customHeight="1">
      <c r="A41" s="283" t="s">
        <v>226</v>
      </c>
      <c r="B41" s="274"/>
      <c r="C41" s="294">
        <v>0</v>
      </c>
      <c r="D41" s="287">
        <v>25</v>
      </c>
      <c r="E41" s="288">
        <v>1247.6</v>
      </c>
      <c r="F41" s="287">
        <v>25</v>
      </c>
      <c r="G41" s="288">
        <v>1247.6</v>
      </c>
      <c r="H41" s="284" t="s">
        <v>519</v>
      </c>
      <c r="I41" s="284">
        <v>196.39</v>
      </c>
      <c r="J41" s="262"/>
      <c r="K41" s="262"/>
    </row>
    <row r="42" spans="1:11" ht="14.25" customHeight="1">
      <c r="A42" s="283" t="s">
        <v>153</v>
      </c>
      <c r="B42" s="287">
        <v>96</v>
      </c>
      <c r="C42" s="294">
        <v>4779</v>
      </c>
      <c r="D42" s="287">
        <v>45</v>
      </c>
      <c r="E42" s="288">
        <v>2245.6</v>
      </c>
      <c r="F42" s="287">
        <v>141</v>
      </c>
      <c r="G42" s="288">
        <v>7024.6</v>
      </c>
      <c r="H42" s="284" t="s">
        <v>520</v>
      </c>
      <c r="I42" s="284">
        <v>173.63</v>
      </c>
      <c r="J42" s="262"/>
      <c r="K42" s="262"/>
    </row>
    <row r="43" spans="1:11" ht="14.25" customHeight="1">
      <c r="A43" s="283" t="s">
        <v>155</v>
      </c>
      <c r="B43" s="287">
        <v>30</v>
      </c>
      <c r="C43" s="294">
        <v>1497</v>
      </c>
      <c r="D43" s="287">
        <v>0</v>
      </c>
      <c r="E43" s="288">
        <v>0</v>
      </c>
      <c r="F43" s="287">
        <v>30</v>
      </c>
      <c r="G43" s="288">
        <v>1497</v>
      </c>
      <c r="H43" s="284" t="s">
        <v>521</v>
      </c>
      <c r="I43" s="284">
        <v>130.01</v>
      </c>
      <c r="J43" s="262"/>
      <c r="K43" s="262"/>
    </row>
    <row r="44" spans="1:11" ht="14.25" customHeight="1">
      <c r="A44" s="283" t="s">
        <v>229</v>
      </c>
      <c r="B44" s="287">
        <v>145</v>
      </c>
      <c r="C44" s="294">
        <v>7218.5</v>
      </c>
      <c r="D44" s="287">
        <v>0</v>
      </c>
      <c r="E44" s="288">
        <v>0</v>
      </c>
      <c r="F44" s="287">
        <v>145</v>
      </c>
      <c r="G44" s="288">
        <v>7218.5</v>
      </c>
      <c r="H44" s="284" t="s">
        <v>522</v>
      </c>
      <c r="I44" s="284">
        <v>126.49</v>
      </c>
      <c r="J44" s="262"/>
      <c r="K44" s="262"/>
    </row>
    <row r="45" spans="1:11" ht="14.25" customHeight="1">
      <c r="A45" s="283" t="s">
        <v>187</v>
      </c>
      <c r="B45" s="287">
        <v>55</v>
      </c>
      <c r="C45" s="294">
        <v>2741</v>
      </c>
      <c r="D45" s="287">
        <v>0</v>
      </c>
      <c r="E45" s="288">
        <v>0</v>
      </c>
      <c r="F45" s="287">
        <v>55</v>
      </c>
      <c r="G45" s="288">
        <v>2741</v>
      </c>
      <c r="H45" s="284" t="s">
        <v>523</v>
      </c>
      <c r="I45" s="284">
        <v>130.66</v>
      </c>
      <c r="J45" s="262"/>
      <c r="K45" s="262"/>
    </row>
    <row r="46" spans="1:11" ht="14.25" customHeight="1">
      <c r="A46" s="283" t="s">
        <v>157</v>
      </c>
      <c r="B46" s="287">
        <v>12</v>
      </c>
      <c r="C46" s="294">
        <v>600</v>
      </c>
      <c r="D46" s="287">
        <v>0</v>
      </c>
      <c r="E46" s="288">
        <v>0</v>
      </c>
      <c r="F46" s="287">
        <v>12</v>
      </c>
      <c r="G46" s="288">
        <v>600</v>
      </c>
      <c r="H46" s="284" t="s">
        <v>524</v>
      </c>
      <c r="I46" s="284">
        <v>309</v>
      </c>
      <c r="J46" s="262"/>
      <c r="K46" s="262"/>
    </row>
    <row r="47" spans="1:11" ht="14.25" customHeight="1">
      <c r="A47" s="283" t="s">
        <v>94</v>
      </c>
      <c r="B47" s="274"/>
      <c r="C47" s="294">
        <v>0</v>
      </c>
      <c r="D47" s="287">
        <v>56</v>
      </c>
      <c r="E47" s="288">
        <v>2795.5</v>
      </c>
      <c r="F47" s="287">
        <v>56</v>
      </c>
      <c r="G47" s="288">
        <v>2795.5</v>
      </c>
      <c r="H47" s="284" t="s">
        <v>525</v>
      </c>
      <c r="I47" s="284">
        <v>197.36</v>
      </c>
      <c r="J47" s="262"/>
      <c r="K47" s="262"/>
    </row>
    <row r="48" spans="1:11" ht="14.25" customHeight="1">
      <c r="A48" s="283" t="s">
        <v>266</v>
      </c>
      <c r="B48" s="274"/>
      <c r="C48" s="294">
        <v>0</v>
      </c>
      <c r="D48" s="287">
        <v>35</v>
      </c>
      <c r="E48" s="288">
        <v>1745.2</v>
      </c>
      <c r="F48" s="287">
        <v>35</v>
      </c>
      <c r="G48" s="288">
        <v>1745.2</v>
      </c>
      <c r="H48" s="284" t="s">
        <v>526</v>
      </c>
      <c r="I48" s="284">
        <v>147.28</v>
      </c>
      <c r="J48" s="262"/>
      <c r="K48" s="262"/>
    </row>
    <row r="49" spans="1:11" ht="14.25" customHeight="1">
      <c r="A49" s="283" t="s">
        <v>96</v>
      </c>
      <c r="B49" s="287">
        <v>35</v>
      </c>
      <c r="C49" s="294">
        <v>1748.5</v>
      </c>
      <c r="D49" s="287">
        <v>0</v>
      </c>
      <c r="E49" s="288">
        <v>0</v>
      </c>
      <c r="F49" s="287">
        <v>35</v>
      </c>
      <c r="G49" s="288">
        <v>1748.5</v>
      </c>
      <c r="H49" s="284" t="s">
        <v>527</v>
      </c>
      <c r="I49" s="284">
        <v>239.44</v>
      </c>
      <c r="J49" s="262"/>
      <c r="K49" s="262"/>
    </row>
    <row r="50" spans="1:11" ht="14.25" customHeight="1">
      <c r="A50" s="283" t="s">
        <v>98</v>
      </c>
      <c r="B50" s="287">
        <f>180+20</f>
        <v>200</v>
      </c>
      <c r="C50" s="294">
        <f>8983.5+998.5</f>
        <v>9982</v>
      </c>
      <c r="D50" s="287">
        <v>0</v>
      </c>
      <c r="E50" s="288">
        <v>0</v>
      </c>
      <c r="F50" s="287">
        <f>180+20</f>
        <v>200</v>
      </c>
      <c r="G50" s="288">
        <f>8983.5+998.5</f>
        <v>9982</v>
      </c>
      <c r="H50" s="284">
        <f>2153640.5+129805</f>
        <v>2283445.5</v>
      </c>
      <c r="I50" s="284">
        <f>H50/G50</f>
        <v>228.75631136044882</v>
      </c>
      <c r="J50" s="262"/>
      <c r="K50" s="262"/>
    </row>
    <row r="51" spans="1:11" ht="14.25" customHeight="1">
      <c r="A51" s="283" t="s">
        <v>237</v>
      </c>
      <c r="B51" s="287">
        <v>60</v>
      </c>
      <c r="C51" s="294">
        <v>2991</v>
      </c>
      <c r="D51" s="287">
        <v>10</v>
      </c>
      <c r="E51" s="288">
        <v>499.2</v>
      </c>
      <c r="F51" s="287">
        <v>70</v>
      </c>
      <c r="G51" s="288">
        <v>3490.2</v>
      </c>
      <c r="H51" s="284" t="s">
        <v>528</v>
      </c>
      <c r="I51" s="284">
        <v>195.03</v>
      </c>
      <c r="J51" s="262"/>
      <c r="K51" s="262"/>
    </row>
    <row r="52" spans="1:11" ht="14.25" customHeight="1">
      <c r="A52" s="283" t="s">
        <v>99</v>
      </c>
      <c r="B52" s="274"/>
      <c r="C52" s="294">
        <v>0</v>
      </c>
      <c r="D52" s="287">
        <v>139</v>
      </c>
      <c r="E52" s="288">
        <v>6922.4</v>
      </c>
      <c r="F52" s="287">
        <v>139</v>
      </c>
      <c r="G52" s="288">
        <v>6922.4</v>
      </c>
      <c r="H52" s="284" t="s">
        <v>529</v>
      </c>
      <c r="I52" s="284">
        <v>209.54</v>
      </c>
      <c r="J52" s="262"/>
      <c r="K52" s="262"/>
    </row>
    <row r="53" spans="1:11" ht="14.25" customHeight="1">
      <c r="A53" s="283" t="s">
        <v>530</v>
      </c>
      <c r="B53" s="287">
        <v>10</v>
      </c>
      <c r="C53" s="294">
        <v>495.5</v>
      </c>
      <c r="D53" s="287">
        <v>0</v>
      </c>
      <c r="E53" s="288">
        <v>0</v>
      </c>
      <c r="F53" s="287">
        <v>10</v>
      </c>
      <c r="G53" s="288">
        <v>495.5</v>
      </c>
      <c r="H53" s="284">
        <v>61937.5</v>
      </c>
      <c r="I53" s="284">
        <v>125</v>
      </c>
      <c r="J53" s="262"/>
      <c r="K53" s="262"/>
    </row>
    <row r="54" spans="1:11" ht="14.25" customHeight="1">
      <c r="A54" s="283" t="s">
        <v>101</v>
      </c>
      <c r="B54" s="287">
        <v>20</v>
      </c>
      <c r="C54" s="294">
        <v>994</v>
      </c>
      <c r="D54" s="287">
        <v>0</v>
      </c>
      <c r="E54" s="288">
        <v>0</v>
      </c>
      <c r="F54" s="287">
        <v>20</v>
      </c>
      <c r="G54" s="288">
        <v>994</v>
      </c>
      <c r="H54" s="284" t="s">
        <v>531</v>
      </c>
      <c r="I54" s="284">
        <v>122</v>
      </c>
      <c r="J54" s="262"/>
      <c r="K54" s="262"/>
    </row>
    <row r="55" spans="1:11" ht="14.25" customHeight="1">
      <c r="A55" s="283" t="s">
        <v>271</v>
      </c>
      <c r="B55" s="287">
        <v>42</v>
      </c>
      <c r="C55" s="294">
        <v>2097</v>
      </c>
      <c r="D55" s="287">
        <v>0</v>
      </c>
      <c r="E55" s="288">
        <v>0</v>
      </c>
      <c r="F55" s="287">
        <v>42</v>
      </c>
      <c r="G55" s="288">
        <v>2097</v>
      </c>
      <c r="H55" s="284" t="s">
        <v>532</v>
      </c>
      <c r="I55" s="284">
        <v>308.08</v>
      </c>
      <c r="J55" s="262"/>
      <c r="K55" s="262"/>
    </row>
    <row r="56" spans="1:11" ht="14.25" customHeight="1">
      <c r="A56" s="283" t="s">
        <v>194</v>
      </c>
      <c r="B56" s="306">
        <v>20</v>
      </c>
      <c r="C56" s="307">
        <v>994</v>
      </c>
      <c r="D56" s="306">
        <v>0</v>
      </c>
      <c r="E56" s="308">
        <v>0</v>
      </c>
      <c r="F56" s="306">
        <v>20</v>
      </c>
      <c r="G56" s="308">
        <v>994</v>
      </c>
      <c r="H56" s="282" t="s">
        <v>533</v>
      </c>
      <c r="I56" s="282">
        <v>123</v>
      </c>
      <c r="J56" s="262"/>
      <c r="K56" s="262"/>
    </row>
    <row r="57" spans="1:11" ht="14.25" customHeight="1">
      <c r="A57" s="283" t="s">
        <v>14</v>
      </c>
      <c r="B57" s="314">
        <v>4655</v>
      </c>
      <c r="C57" s="307" t="s">
        <v>534</v>
      </c>
      <c r="D57" s="306">
        <v>1154</v>
      </c>
      <c r="E57" s="308">
        <v>57568.4</v>
      </c>
      <c r="F57" s="314">
        <v>5809</v>
      </c>
      <c r="G57" s="308" t="s">
        <v>535</v>
      </c>
      <c r="H57" s="282" t="s">
        <v>536</v>
      </c>
      <c r="I57" s="282">
        <v>183.89</v>
      </c>
      <c r="J57" s="262"/>
      <c r="K57" s="262"/>
    </row>
    <row r="58" spans="1:11" ht="14.25" customHeight="1">
      <c r="A58" s="283"/>
      <c r="B58" s="286"/>
      <c r="C58" s="294"/>
      <c r="D58" s="287"/>
      <c r="E58" s="288"/>
      <c r="F58" s="286"/>
      <c r="G58" s="288"/>
      <c r="H58" s="284"/>
      <c r="I58" s="295"/>
      <c r="J58" s="262"/>
      <c r="K58" s="262"/>
    </row>
    <row r="59" spans="1:11" ht="14.25" customHeight="1">
      <c r="A59" s="263" t="s">
        <v>117</v>
      </c>
      <c r="B59" s="289"/>
      <c r="C59" s="276"/>
      <c r="D59" s="289"/>
      <c r="E59" s="290"/>
      <c r="F59" s="289"/>
      <c r="G59" s="276"/>
      <c r="H59" s="278"/>
      <c r="I59" s="278"/>
      <c r="J59" s="262"/>
      <c r="K59" s="262"/>
    </row>
    <row r="60" spans="1:11" ht="14.25" customHeight="1">
      <c r="A60" s="263" t="s">
        <v>118</v>
      </c>
      <c r="B60" s="289"/>
      <c r="C60" s="276"/>
      <c r="D60" s="289"/>
      <c r="E60" s="290"/>
      <c r="F60" s="291"/>
      <c r="G60" s="292" t="s">
        <v>119</v>
      </c>
      <c r="H60" s="278"/>
      <c r="I60" s="278"/>
      <c r="J60" s="262"/>
      <c r="K60" s="262"/>
    </row>
    <row r="61" spans="1:11" ht="14.25" customHeight="1">
      <c r="A61" s="263" t="s">
        <v>120</v>
      </c>
      <c r="B61" s="289"/>
      <c r="C61" s="276"/>
      <c r="D61" s="289"/>
      <c r="E61" s="1"/>
      <c r="F61" s="290"/>
      <c r="G61" s="293" t="s">
        <v>121</v>
      </c>
      <c r="H61" s="278"/>
      <c r="I61" s="278"/>
      <c r="J61" s="262"/>
      <c r="K61" s="262"/>
    </row>
    <row r="62" spans="1:11" ht="14.25" customHeight="1">
      <c r="A62" s="263" t="s">
        <v>122</v>
      </c>
      <c r="B62" s="289"/>
      <c r="C62" s="276"/>
      <c r="D62" s="289"/>
      <c r="E62" s="290"/>
      <c r="F62" s="289"/>
      <c r="G62" s="276"/>
      <c r="H62" s="278"/>
      <c r="I62" s="278"/>
      <c r="J62" s="262"/>
      <c r="K62" s="262"/>
    </row>
    <row r="63" spans="1:11" ht="14.25" customHeight="1">
      <c r="A63" s="263" t="s">
        <v>123</v>
      </c>
      <c r="B63" s="289"/>
      <c r="C63" s="276"/>
      <c r="D63" s="289"/>
      <c r="E63" s="290"/>
      <c r="F63" s="289"/>
      <c r="G63" s="276"/>
      <c r="H63" s="278"/>
      <c r="I63" s="278"/>
      <c r="J63" s="262"/>
      <c r="K63" s="262"/>
    </row>
    <row r="64" spans="1:10" ht="14.25" customHeight="1">
      <c r="A64" s="1"/>
      <c r="J64" s="1"/>
    </row>
    <row r="65" spans="1:10" ht="14.25" customHeight="1">
      <c r="A65" s="1"/>
      <c r="J65" s="1"/>
    </row>
    <row r="66" spans="1:10" ht="14.25" customHeight="1">
      <c r="A66" s="1"/>
      <c r="J66" s="1"/>
    </row>
    <row r="67" spans="1:10" ht="14.25" customHeight="1">
      <c r="A67" s="1"/>
      <c r="J67" s="1"/>
    </row>
    <row r="68" spans="1:10" ht="14.25" customHeight="1">
      <c r="A68" s="1"/>
      <c r="J68" s="1"/>
    </row>
    <row r="69" spans="1:10" ht="14.25" customHeight="1">
      <c r="A69" s="1"/>
      <c r="J69" s="1"/>
    </row>
    <row r="70" spans="1:10" ht="14.25" customHeight="1">
      <c r="A70" s="1"/>
      <c r="J70" s="1"/>
    </row>
    <row r="71" ht="14.25" customHeight="1">
      <c r="A71" s="1"/>
    </row>
    <row r="72" ht="14.25" customHeight="1">
      <c r="A72" s="1"/>
    </row>
    <row r="73" spans="1:9" ht="14.2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4.2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4.25" customHeight="1">
      <c r="A75" s="41"/>
      <c r="B75" s="42"/>
      <c r="C75" s="44"/>
      <c r="D75" s="42"/>
      <c r="E75" s="44"/>
      <c r="F75" s="42"/>
      <c r="G75" s="44"/>
      <c r="H75" s="47"/>
      <c r="I75" s="47"/>
    </row>
    <row r="76" spans="1:9" ht="14.25" customHeight="1">
      <c r="A76" s="41"/>
      <c r="B76" s="42"/>
      <c r="C76" s="44"/>
      <c r="D76" s="42"/>
      <c r="E76" s="44"/>
      <c r="F76" s="42"/>
      <c r="G76" s="44"/>
      <c r="H76" s="47"/>
      <c r="I76" s="47"/>
    </row>
    <row r="77" spans="1:9" ht="14.25" customHeight="1">
      <c r="A77" s="41"/>
      <c r="B77" s="42"/>
      <c r="C77" s="44"/>
      <c r="D77" s="42"/>
      <c r="E77" s="44"/>
      <c r="F77" s="42"/>
      <c r="G77" s="44"/>
      <c r="H77" s="47"/>
      <c r="I77" s="47"/>
    </row>
    <row r="78" spans="1:9" ht="14.25" customHeight="1">
      <c r="A78" s="41"/>
      <c r="B78" s="42"/>
      <c r="C78" s="44"/>
      <c r="D78" s="42"/>
      <c r="E78" s="44"/>
      <c r="F78" s="42"/>
      <c r="G78" s="44"/>
      <c r="H78" s="47"/>
      <c r="I78" s="47"/>
    </row>
    <row r="79" spans="1:9" ht="14.25" customHeight="1">
      <c r="A79" s="41"/>
      <c r="B79" s="42"/>
      <c r="C79" s="44"/>
      <c r="D79" s="42"/>
      <c r="E79" s="44"/>
      <c r="F79" s="42"/>
      <c r="G79" s="44"/>
      <c r="H79" s="47"/>
      <c r="I79" s="47"/>
    </row>
    <row r="80" spans="1:9" ht="14.25" customHeight="1">
      <c r="A80" s="41"/>
      <c r="B80" s="42"/>
      <c r="C80" s="44"/>
      <c r="D80" s="42"/>
      <c r="E80" s="44"/>
      <c r="F80" s="42"/>
      <c r="G80" s="44"/>
      <c r="H80" s="47"/>
      <c r="I80" s="47"/>
    </row>
    <row r="81" spans="1:9" ht="14.25" customHeight="1">
      <c r="A81" s="41"/>
      <c r="B81" s="42"/>
      <c r="C81" s="44"/>
      <c r="D81" s="42"/>
      <c r="E81" s="44"/>
      <c r="F81" s="42"/>
      <c r="G81" s="44"/>
      <c r="H81" s="47"/>
      <c r="I81" s="47"/>
    </row>
    <row r="82" spans="1:9" ht="14.25" customHeight="1">
      <c r="A82" s="41"/>
      <c r="B82" s="42"/>
      <c r="C82" s="44"/>
      <c r="D82" s="42"/>
      <c r="E82" s="44"/>
      <c r="F82" s="42"/>
      <c r="G82" s="44"/>
      <c r="H82" s="47"/>
      <c r="I82" s="47"/>
    </row>
    <row r="83" spans="1:9" ht="14.25" customHeight="1">
      <c r="A83" s="41"/>
      <c r="B83" s="42"/>
      <c r="C83" s="44"/>
      <c r="D83" s="42"/>
      <c r="E83" s="44"/>
      <c r="F83" s="42"/>
      <c r="G83" s="44"/>
      <c r="H83" s="47"/>
      <c r="I83" s="47"/>
    </row>
    <row r="84" spans="1:9" ht="14.25" customHeight="1">
      <c r="A84" s="41"/>
      <c r="B84" s="42"/>
      <c r="C84" s="44"/>
      <c r="D84" s="42"/>
      <c r="E84" s="44"/>
      <c r="F84" s="42"/>
      <c r="G84" s="44"/>
      <c r="H84" s="47"/>
      <c r="I84" s="47"/>
    </row>
    <row r="85" spans="1:9" ht="14.25" customHeight="1">
      <c r="A85" s="41"/>
      <c r="B85" s="42"/>
      <c r="C85" s="44"/>
      <c r="D85" s="42"/>
      <c r="E85" s="44"/>
      <c r="F85" s="42"/>
      <c r="G85" s="44"/>
      <c r="H85" s="47"/>
      <c r="I85" s="47"/>
    </row>
    <row r="86" spans="1:9" ht="14.25" customHeight="1">
      <c r="A86" s="41"/>
      <c r="B86" s="42"/>
      <c r="C86" s="44"/>
      <c r="D86" s="42"/>
      <c r="E86" s="44"/>
      <c r="F86" s="42"/>
      <c r="G86" s="44"/>
      <c r="H86" s="47"/>
      <c r="I86" s="47"/>
    </row>
    <row r="87" spans="1:9" ht="14.25" customHeight="1">
      <c r="A87" s="41"/>
      <c r="B87" s="42"/>
      <c r="C87" s="44"/>
      <c r="D87" s="42"/>
      <c r="E87" s="44"/>
      <c r="F87" s="42"/>
      <c r="G87" s="44"/>
      <c r="H87" s="47"/>
      <c r="I87" s="47"/>
    </row>
    <row r="88" spans="1:9" ht="14.25" customHeight="1">
      <c r="A88" s="41"/>
      <c r="B88" s="42"/>
      <c r="C88" s="44"/>
      <c r="D88" s="42"/>
      <c r="E88" s="44"/>
      <c r="F88" s="42"/>
      <c r="G88" s="44"/>
      <c r="H88" s="47"/>
      <c r="I88" s="47"/>
    </row>
    <row r="89" spans="1:9" ht="14.25" customHeight="1">
      <c r="A89" s="41"/>
      <c r="B89" s="42"/>
      <c r="C89" s="44"/>
      <c r="D89" s="42"/>
      <c r="E89" s="44"/>
      <c r="F89" s="42"/>
      <c r="G89" s="44"/>
      <c r="H89" s="47"/>
      <c r="I89" s="47"/>
    </row>
    <row r="90" spans="1:9" ht="14.25" customHeight="1">
      <c r="A90" s="41"/>
      <c r="B90" s="42"/>
      <c r="C90" s="44"/>
      <c r="D90" s="42"/>
      <c r="E90" s="44"/>
      <c r="F90" s="42"/>
      <c r="G90" s="44"/>
      <c r="H90" s="47"/>
      <c r="I90" s="47"/>
    </row>
    <row r="91" spans="1:9" ht="14.25" customHeight="1">
      <c r="A91" s="41"/>
      <c r="B91" s="42"/>
      <c r="C91" s="44"/>
      <c r="D91" s="42"/>
      <c r="E91" s="44"/>
      <c r="F91" s="42"/>
      <c r="G91" s="44"/>
      <c r="H91" s="47"/>
      <c r="I91" s="47"/>
    </row>
    <row r="92" spans="1:9" ht="14.25" customHeight="1">
      <c r="A92" s="41"/>
      <c r="B92" s="42"/>
      <c r="C92" s="44"/>
      <c r="D92" s="42"/>
      <c r="E92" s="44"/>
      <c r="F92" s="42"/>
      <c r="G92" s="44"/>
      <c r="H92" s="47"/>
      <c r="I92" s="47"/>
    </row>
    <row r="93" spans="1:9" ht="14.25" customHeight="1">
      <c r="A93" s="41"/>
      <c r="B93" s="42"/>
      <c r="C93" s="44"/>
      <c r="D93" s="42"/>
      <c r="E93" s="44"/>
      <c r="F93" s="42"/>
      <c r="G93" s="44"/>
      <c r="H93" s="47"/>
      <c r="I93" s="47"/>
    </row>
    <row r="94" spans="1:9" ht="14.25" customHeight="1">
      <c r="A94" s="41"/>
      <c r="B94" s="42"/>
      <c r="C94" s="44"/>
      <c r="D94" s="42"/>
      <c r="E94" s="44"/>
      <c r="F94" s="42"/>
      <c r="G94" s="44"/>
      <c r="H94" s="47"/>
      <c r="I94" s="47"/>
    </row>
    <row r="95" spans="1:9" ht="14.25" customHeight="1">
      <c r="A95" s="41"/>
      <c r="B95" s="42"/>
      <c r="C95" s="44"/>
      <c r="D95" s="42"/>
      <c r="E95" s="44"/>
      <c r="F95" s="42"/>
      <c r="G95" s="44"/>
      <c r="H95" s="47"/>
      <c r="I95" s="47"/>
    </row>
    <row r="96" spans="1:9" ht="14.25" customHeight="1">
      <c r="A96" s="41"/>
      <c r="B96" s="42"/>
      <c r="C96" s="44"/>
      <c r="D96" s="42"/>
      <c r="E96" s="44"/>
      <c r="F96" s="42"/>
      <c r="G96" s="44"/>
      <c r="H96" s="47"/>
      <c r="I96" s="47"/>
    </row>
    <row r="97" spans="1:9" ht="14.25" customHeight="1">
      <c r="A97" s="41"/>
      <c r="B97" s="42"/>
      <c r="C97" s="44"/>
      <c r="D97" s="42"/>
      <c r="E97" s="44"/>
      <c r="F97" s="42"/>
      <c r="G97" s="44"/>
      <c r="H97" s="47"/>
      <c r="I97" s="47"/>
    </row>
    <row r="98" spans="1:9" ht="14.25" customHeight="1">
      <c r="A98" s="41"/>
      <c r="B98" s="42"/>
      <c r="C98" s="44"/>
      <c r="D98" s="42"/>
      <c r="E98" s="44"/>
      <c r="F98" s="42"/>
      <c r="G98" s="44"/>
      <c r="H98" s="47"/>
      <c r="I98" s="47"/>
    </row>
    <row r="99" spans="1:9" ht="14.25" customHeight="1">
      <c r="A99" s="41"/>
      <c r="B99" s="42"/>
      <c r="C99" s="44"/>
      <c r="D99" s="42"/>
      <c r="E99" s="44"/>
      <c r="F99" s="42"/>
      <c r="G99" s="44"/>
      <c r="H99" s="47"/>
      <c r="I99" s="47"/>
    </row>
    <row r="100" spans="1:9" ht="14.25" customHeight="1">
      <c r="A100" s="41"/>
      <c r="B100" s="42"/>
      <c r="C100" s="44"/>
      <c r="D100" s="42"/>
      <c r="E100" s="44"/>
      <c r="F100" s="42"/>
      <c r="G100" s="44"/>
      <c r="H100" s="47"/>
      <c r="I100" s="47"/>
    </row>
    <row r="101" spans="1:9" ht="14.25" customHeight="1">
      <c r="A101" s="41"/>
      <c r="B101" s="42"/>
      <c r="C101" s="44"/>
      <c r="D101" s="42"/>
      <c r="E101" s="44"/>
      <c r="F101" s="42"/>
      <c r="G101" s="44"/>
      <c r="H101" s="47"/>
      <c r="I101" s="47"/>
    </row>
    <row r="102" spans="1:9" ht="14.25" customHeight="1">
      <c r="A102" s="41"/>
      <c r="B102" s="42"/>
      <c r="C102" s="44"/>
      <c r="D102" s="42"/>
      <c r="E102" s="44"/>
      <c r="F102" s="42"/>
      <c r="G102" s="44"/>
      <c r="H102" s="47"/>
      <c r="I102" s="47"/>
    </row>
    <row r="103" spans="1:9" ht="14.25" customHeight="1">
      <c r="A103" s="41"/>
      <c r="B103" s="42"/>
      <c r="C103" s="44"/>
      <c r="D103" s="42"/>
      <c r="E103" s="44"/>
      <c r="F103" s="42"/>
      <c r="G103" s="44"/>
      <c r="H103" s="47"/>
      <c r="I103" s="47"/>
    </row>
    <row r="104" spans="1:9" ht="14.25" customHeight="1">
      <c r="A104" s="41"/>
      <c r="B104" s="42"/>
      <c r="C104" s="44"/>
      <c r="D104" s="42"/>
      <c r="E104" s="44"/>
      <c r="F104" s="42"/>
      <c r="G104" s="44"/>
      <c r="H104" s="47"/>
      <c r="I104" s="47"/>
    </row>
    <row r="105" spans="1:9" ht="14.25" customHeight="1">
      <c r="A105" s="41"/>
      <c r="B105" s="42"/>
      <c r="C105" s="44"/>
      <c r="D105" s="42"/>
      <c r="E105" s="44"/>
      <c r="F105" s="42"/>
      <c r="G105" s="44"/>
      <c r="H105" s="47"/>
      <c r="I105" s="47"/>
    </row>
    <row r="106" spans="1:9" ht="14.25" customHeight="1">
      <c r="A106" s="41"/>
      <c r="B106" s="42"/>
      <c r="C106" s="44"/>
      <c r="D106" s="42"/>
      <c r="E106" s="44"/>
      <c r="F106" s="42"/>
      <c r="G106" s="44"/>
      <c r="H106" s="47"/>
      <c r="I106" s="47"/>
    </row>
    <row r="107" spans="1:9" ht="14.25" customHeight="1">
      <c r="A107" s="41"/>
      <c r="B107" s="42"/>
      <c r="C107" s="44"/>
      <c r="D107" s="42"/>
      <c r="E107" s="44"/>
      <c r="F107" s="42"/>
      <c r="G107" s="44"/>
      <c r="H107" s="47"/>
      <c r="I107" s="47"/>
    </row>
    <row r="108" spans="1:9" ht="14.25" customHeight="1">
      <c r="A108" s="41"/>
      <c r="B108" s="42"/>
      <c r="C108" s="44"/>
      <c r="D108" s="42"/>
      <c r="E108" s="44"/>
      <c r="F108" s="42"/>
      <c r="G108" s="44"/>
      <c r="H108" s="47"/>
      <c r="I108" s="47"/>
    </row>
    <row r="109" spans="1:9" ht="14.25" customHeight="1">
      <c r="A109" s="41"/>
      <c r="B109" s="42"/>
      <c r="C109" s="44"/>
      <c r="D109" s="42"/>
      <c r="E109" s="44"/>
      <c r="F109" s="42"/>
      <c r="G109" s="44"/>
      <c r="H109" s="47"/>
      <c r="I109" s="47"/>
    </row>
    <row r="110" spans="1:9" ht="14.25" customHeight="1">
      <c r="A110" s="41"/>
      <c r="B110" s="42"/>
      <c r="C110" s="44"/>
      <c r="D110" s="42"/>
      <c r="E110" s="44"/>
      <c r="F110" s="42"/>
      <c r="G110" s="44"/>
      <c r="H110" s="47"/>
      <c r="I110" s="47"/>
    </row>
    <row r="111" spans="1:9" ht="14.25" customHeight="1">
      <c r="A111" s="41"/>
      <c r="B111" s="42"/>
      <c r="C111" s="44"/>
      <c r="D111" s="42"/>
      <c r="E111" s="44"/>
      <c r="F111" s="42"/>
      <c r="G111" s="44"/>
      <c r="H111" s="47"/>
      <c r="I111" s="47"/>
    </row>
    <row r="112" spans="1:9" ht="14.25" customHeight="1">
      <c r="A112" s="41"/>
      <c r="B112" s="42"/>
      <c r="C112" s="44"/>
      <c r="D112" s="42"/>
      <c r="E112" s="44"/>
      <c r="F112" s="42"/>
      <c r="G112" s="44"/>
      <c r="H112" s="47"/>
      <c r="I112" s="47"/>
    </row>
  </sheetData>
  <sheetProtection/>
  <printOptions/>
  <pageMargins left="0.7" right="0.7" top="0.58" bottom="0.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0.140625" style="296" customWidth="1"/>
    <col min="2" max="2" width="7.140625" style="31" customWidth="1"/>
    <col min="3" max="3" width="10.28125" style="244" customWidth="1"/>
    <col min="4" max="4" width="7.7109375" style="31" customWidth="1"/>
    <col min="5" max="5" width="10.28125" style="244" bestFit="1" customWidth="1"/>
    <col min="6" max="6" width="7.57421875" style="31" customWidth="1"/>
    <col min="7" max="7" width="11.421875" style="244" bestFit="1" customWidth="1"/>
    <col min="8" max="8" width="14.140625" style="48" bestFit="1" customWidth="1"/>
    <col min="9" max="9" width="8.8515625" style="48" customWidth="1"/>
    <col min="10" max="16384" width="8.8515625" style="296" customWidth="1"/>
  </cols>
  <sheetData>
    <row r="1" spans="1:11" ht="15" customHeight="1">
      <c r="A1" s="263" t="s">
        <v>463</v>
      </c>
      <c r="B1" s="264"/>
      <c r="C1" s="265"/>
      <c r="D1" s="264"/>
      <c r="E1" s="266"/>
      <c r="F1" s="264"/>
      <c r="G1" s="265"/>
      <c r="H1" s="267"/>
      <c r="I1" s="267"/>
      <c r="J1" s="262"/>
      <c r="K1" s="262"/>
    </row>
    <row r="2" spans="1:11" ht="15" customHeight="1">
      <c r="A2" s="263" t="s">
        <v>464</v>
      </c>
      <c r="B2" s="264"/>
      <c r="C2" s="265"/>
      <c r="D2" s="264"/>
      <c r="E2" s="266"/>
      <c r="F2" s="264"/>
      <c r="G2" s="265"/>
      <c r="H2" s="267"/>
      <c r="I2" s="267"/>
      <c r="J2" s="262"/>
      <c r="K2" s="262"/>
    </row>
    <row r="3" spans="1:11" ht="15" customHeight="1">
      <c r="A3" s="263" t="s">
        <v>110</v>
      </c>
      <c r="B3" s="264"/>
      <c r="C3" s="265"/>
      <c r="D3" s="264"/>
      <c r="E3" s="266"/>
      <c r="F3" s="264"/>
      <c r="G3" s="265"/>
      <c r="H3" s="267"/>
      <c r="I3" s="267"/>
      <c r="J3" s="262"/>
      <c r="K3" s="262"/>
    </row>
    <row r="4" spans="1:11" ht="15" customHeight="1">
      <c r="A4" s="263" t="s">
        <v>5</v>
      </c>
      <c r="B4" s="264"/>
      <c r="C4" s="265"/>
      <c r="D4" s="264"/>
      <c r="E4" s="266"/>
      <c r="F4" s="264"/>
      <c r="G4" s="265"/>
      <c r="H4" s="267"/>
      <c r="I4" s="267"/>
      <c r="J4" s="262"/>
      <c r="K4" s="262"/>
    </row>
    <row r="5" spans="1:11" ht="15" customHeight="1">
      <c r="A5" s="263" t="s">
        <v>6</v>
      </c>
      <c r="B5" s="264"/>
      <c r="C5" s="265"/>
      <c r="D5" s="264"/>
      <c r="E5" s="268"/>
      <c r="F5" s="264"/>
      <c r="G5" s="265"/>
      <c r="H5" s="267"/>
      <c r="I5" s="267"/>
      <c r="J5" s="262"/>
      <c r="K5" s="262"/>
    </row>
    <row r="6" spans="1:11" ht="15" customHeight="1">
      <c r="A6" s="263" t="s">
        <v>111</v>
      </c>
      <c r="B6" s="264"/>
      <c r="C6" s="265"/>
      <c r="D6" s="264"/>
      <c r="E6" s="266"/>
      <c r="F6" s="264"/>
      <c r="G6" s="265"/>
      <c r="H6" s="267"/>
      <c r="I6" s="267"/>
      <c r="J6" s="262"/>
      <c r="K6" s="262"/>
    </row>
    <row r="7" spans="1:11" ht="15" customHeight="1">
      <c r="A7" s="263" t="s">
        <v>112</v>
      </c>
      <c r="B7" s="264"/>
      <c r="C7" s="265"/>
      <c r="D7" s="264"/>
      <c r="E7" s="269" t="s">
        <v>113</v>
      </c>
      <c r="F7" s="264"/>
      <c r="G7" s="265"/>
      <c r="H7" s="267"/>
      <c r="I7" s="267"/>
      <c r="J7" s="262"/>
      <c r="K7" s="262"/>
    </row>
    <row r="8" spans="1:11" ht="15" customHeight="1">
      <c r="A8" s="263" t="s">
        <v>465</v>
      </c>
      <c r="B8" s="270"/>
      <c r="C8" s="271"/>
      <c r="D8" s="270"/>
      <c r="E8" s="272"/>
      <c r="F8" s="270"/>
      <c r="G8" s="271"/>
      <c r="H8" s="273"/>
      <c r="I8" s="273"/>
      <c r="J8" s="262"/>
      <c r="K8" s="262"/>
    </row>
    <row r="9" spans="1:11" ht="15" customHeight="1">
      <c r="A9" s="274"/>
      <c r="B9" s="275" t="s">
        <v>45</v>
      </c>
      <c r="C9" s="276"/>
      <c r="D9" s="275" t="s">
        <v>46</v>
      </c>
      <c r="E9" s="276"/>
      <c r="F9" s="275"/>
      <c r="G9" s="277" t="s">
        <v>47</v>
      </c>
      <c r="H9" s="278"/>
      <c r="I9" s="278"/>
      <c r="J9" s="262"/>
      <c r="K9" s="262"/>
    </row>
    <row r="10" spans="1:11" ht="15" customHeight="1">
      <c r="A10" s="279" t="s">
        <v>461</v>
      </c>
      <c r="B10" s="280" t="s">
        <v>49</v>
      </c>
      <c r="C10" s="281" t="s">
        <v>50</v>
      </c>
      <c r="D10" s="280" t="s">
        <v>49</v>
      </c>
      <c r="E10" s="281" t="s">
        <v>50</v>
      </c>
      <c r="F10" s="280" t="s">
        <v>49</v>
      </c>
      <c r="G10" s="281" t="s">
        <v>50</v>
      </c>
      <c r="H10" s="282" t="s">
        <v>51</v>
      </c>
      <c r="I10" s="282" t="s">
        <v>52</v>
      </c>
      <c r="J10" s="262"/>
      <c r="K10" s="262"/>
    </row>
    <row r="11" spans="1:11" ht="15" customHeight="1">
      <c r="A11" s="283" t="s">
        <v>466</v>
      </c>
      <c r="B11" s="311"/>
      <c r="C11" s="294">
        <v>0</v>
      </c>
      <c r="D11" s="312"/>
      <c r="E11" s="288"/>
      <c r="F11" s="312"/>
      <c r="G11" s="288"/>
      <c r="H11" s="284"/>
      <c r="I11" s="295"/>
      <c r="J11" s="262"/>
      <c r="K11" s="262"/>
    </row>
    <row r="12" spans="1:11" ht="15" customHeight="1">
      <c r="A12" s="274" t="s">
        <v>14</v>
      </c>
      <c r="B12" s="284">
        <f aca="true" t="shared" si="0" ref="B12:H12">SUM(B11)</f>
        <v>0</v>
      </c>
      <c r="C12" s="277">
        <f t="shared" si="0"/>
        <v>0</v>
      </c>
      <c r="D12" s="275">
        <f t="shared" si="0"/>
        <v>0</v>
      </c>
      <c r="E12" s="277">
        <f t="shared" si="0"/>
        <v>0</v>
      </c>
      <c r="F12" s="275">
        <f t="shared" si="0"/>
        <v>0</v>
      </c>
      <c r="G12" s="277">
        <f t="shared" si="0"/>
        <v>0</v>
      </c>
      <c r="H12" s="284">
        <f t="shared" si="0"/>
        <v>0</v>
      </c>
      <c r="I12" s="284" t="e">
        <f>H12/G12</f>
        <v>#DIV/0!</v>
      </c>
      <c r="J12" s="262"/>
      <c r="K12" s="262"/>
    </row>
    <row r="13" spans="1:11" ht="15" customHeight="1">
      <c r="A13" s="274"/>
      <c r="B13" s="284"/>
      <c r="C13" s="277"/>
      <c r="D13" s="275"/>
      <c r="E13" s="277"/>
      <c r="F13" s="275"/>
      <c r="G13" s="277"/>
      <c r="H13" s="284"/>
      <c r="I13" s="284"/>
      <c r="J13" s="262"/>
      <c r="K13" s="262"/>
    </row>
    <row r="14" spans="1:11" ht="15" customHeight="1">
      <c r="A14" s="279" t="s">
        <v>462</v>
      </c>
      <c r="B14" s="280" t="s">
        <v>49</v>
      </c>
      <c r="C14" s="281" t="s">
        <v>50</v>
      </c>
      <c r="D14" s="280" t="s">
        <v>49</v>
      </c>
      <c r="E14" s="281" t="s">
        <v>50</v>
      </c>
      <c r="F14" s="280" t="s">
        <v>49</v>
      </c>
      <c r="G14" s="281" t="s">
        <v>50</v>
      </c>
      <c r="H14" s="282" t="s">
        <v>51</v>
      </c>
      <c r="I14" s="282" t="s">
        <v>52</v>
      </c>
      <c r="J14" s="262"/>
      <c r="K14" s="262"/>
    </row>
    <row r="15" spans="1:11" ht="15" customHeight="1">
      <c r="A15" s="313" t="s">
        <v>318</v>
      </c>
      <c r="B15" s="275">
        <v>5</v>
      </c>
      <c r="C15" s="277">
        <v>249.5</v>
      </c>
      <c r="D15" s="275">
        <v>0</v>
      </c>
      <c r="E15" s="277">
        <v>0</v>
      </c>
      <c r="F15" s="275">
        <v>5</v>
      </c>
      <c r="G15" s="277">
        <v>249.5</v>
      </c>
      <c r="H15" s="284">
        <v>63872</v>
      </c>
      <c r="I15" s="284">
        <v>256</v>
      </c>
      <c r="J15" s="262"/>
      <c r="K15" s="262"/>
    </row>
    <row r="16" spans="1:11" ht="15" customHeight="1">
      <c r="A16" s="313" t="s">
        <v>53</v>
      </c>
      <c r="B16" s="275">
        <v>225</v>
      </c>
      <c r="C16" s="277">
        <v>11229</v>
      </c>
      <c r="D16" s="275">
        <v>25</v>
      </c>
      <c r="E16" s="277">
        <v>1248.2</v>
      </c>
      <c r="F16" s="275">
        <v>250</v>
      </c>
      <c r="G16" s="277">
        <v>12477.2</v>
      </c>
      <c r="H16" s="284" t="s">
        <v>467</v>
      </c>
      <c r="I16" s="284">
        <v>202.81</v>
      </c>
      <c r="J16" s="262"/>
      <c r="K16" s="262"/>
    </row>
    <row r="17" spans="1:11" ht="15" customHeight="1">
      <c r="A17" s="313" t="s">
        <v>55</v>
      </c>
      <c r="B17" s="275">
        <v>15</v>
      </c>
      <c r="C17" s="277">
        <v>748.5</v>
      </c>
      <c r="D17" s="275">
        <v>0</v>
      </c>
      <c r="E17" s="277">
        <v>0</v>
      </c>
      <c r="F17" s="275">
        <v>15</v>
      </c>
      <c r="G17" s="277">
        <v>748.5</v>
      </c>
      <c r="H17" s="284" t="s">
        <v>468</v>
      </c>
      <c r="I17" s="284">
        <v>238</v>
      </c>
      <c r="J17" s="262"/>
      <c r="K17" s="262"/>
    </row>
    <row r="18" spans="1:11" ht="15" customHeight="1">
      <c r="A18" s="313" t="s">
        <v>469</v>
      </c>
      <c r="B18" s="275"/>
      <c r="C18" s="277">
        <v>0</v>
      </c>
      <c r="D18" s="275">
        <v>10</v>
      </c>
      <c r="E18" s="277">
        <v>499.2</v>
      </c>
      <c r="F18" s="275">
        <v>10</v>
      </c>
      <c r="G18" s="277">
        <v>499.2</v>
      </c>
      <c r="H18" s="284" t="s">
        <v>470</v>
      </c>
      <c r="I18" s="284">
        <v>255</v>
      </c>
      <c r="J18" s="262"/>
      <c r="K18" s="262"/>
    </row>
    <row r="19" spans="1:11" ht="15" customHeight="1">
      <c r="A19" s="313" t="s">
        <v>471</v>
      </c>
      <c r="B19" s="275">
        <v>20</v>
      </c>
      <c r="C19" s="277">
        <v>997</v>
      </c>
      <c r="D19" s="275">
        <v>0</v>
      </c>
      <c r="E19" s="277">
        <v>0</v>
      </c>
      <c r="F19" s="275">
        <v>20</v>
      </c>
      <c r="G19" s="277">
        <v>997</v>
      </c>
      <c r="H19" s="284" t="s">
        <v>472</v>
      </c>
      <c r="I19" s="284">
        <v>220</v>
      </c>
      <c r="J19" s="262"/>
      <c r="K19" s="262"/>
    </row>
    <row r="20" spans="1:11" ht="15" customHeight="1">
      <c r="A20" s="313" t="s">
        <v>57</v>
      </c>
      <c r="B20" s="275">
        <v>10</v>
      </c>
      <c r="C20" s="277">
        <v>498.5</v>
      </c>
      <c r="D20" s="275">
        <v>0</v>
      </c>
      <c r="E20" s="277">
        <v>0</v>
      </c>
      <c r="F20" s="275">
        <v>10</v>
      </c>
      <c r="G20" s="277">
        <v>498.5</v>
      </c>
      <c r="H20" s="284" t="s">
        <v>473</v>
      </c>
      <c r="I20" s="284">
        <v>225</v>
      </c>
      <c r="J20" s="262"/>
      <c r="K20" s="262"/>
    </row>
    <row r="21" spans="1:11" ht="15" customHeight="1">
      <c r="A21" s="313" t="s">
        <v>174</v>
      </c>
      <c r="B21" s="275">
        <v>30</v>
      </c>
      <c r="C21" s="277">
        <v>1492.5</v>
      </c>
      <c r="D21" s="275">
        <v>0</v>
      </c>
      <c r="E21" s="277">
        <v>0</v>
      </c>
      <c r="F21" s="275">
        <v>30</v>
      </c>
      <c r="G21" s="277">
        <v>1492.5</v>
      </c>
      <c r="H21" s="284" t="s">
        <v>474</v>
      </c>
      <c r="I21" s="284">
        <v>163.08</v>
      </c>
      <c r="J21" s="262"/>
      <c r="K21" s="262"/>
    </row>
    <row r="22" spans="1:11" ht="15" customHeight="1">
      <c r="A22" s="313" t="s">
        <v>475</v>
      </c>
      <c r="B22" s="275">
        <v>85</v>
      </c>
      <c r="C22" s="277">
        <v>4241</v>
      </c>
      <c r="D22" s="275">
        <v>0</v>
      </c>
      <c r="E22" s="277">
        <v>0</v>
      </c>
      <c r="F22" s="275">
        <v>85</v>
      </c>
      <c r="G22" s="277">
        <v>4241</v>
      </c>
      <c r="H22" s="284" t="s">
        <v>476</v>
      </c>
      <c r="I22" s="284">
        <v>196.29</v>
      </c>
      <c r="J22" s="262"/>
      <c r="K22" s="262"/>
    </row>
    <row r="23" spans="1:11" ht="15" customHeight="1">
      <c r="A23" s="313" t="s">
        <v>59</v>
      </c>
      <c r="B23" s="275">
        <v>12</v>
      </c>
      <c r="C23" s="277">
        <v>598.5</v>
      </c>
      <c r="D23" s="275">
        <v>0</v>
      </c>
      <c r="E23" s="277">
        <v>0</v>
      </c>
      <c r="F23" s="275">
        <v>12</v>
      </c>
      <c r="G23" s="277">
        <v>598.5</v>
      </c>
      <c r="H23" s="284" t="s">
        <v>477</v>
      </c>
      <c r="I23" s="284">
        <v>308</v>
      </c>
      <c r="J23" s="262"/>
      <c r="K23" s="262"/>
    </row>
    <row r="24" spans="1:11" ht="15" customHeight="1">
      <c r="A24" s="313" t="s">
        <v>63</v>
      </c>
      <c r="B24" s="275">
        <v>48</v>
      </c>
      <c r="C24" s="277">
        <v>2392.5</v>
      </c>
      <c r="D24" s="275">
        <v>0</v>
      </c>
      <c r="E24" s="277">
        <v>0</v>
      </c>
      <c r="F24" s="275">
        <v>48</v>
      </c>
      <c r="G24" s="277">
        <v>2392.5</v>
      </c>
      <c r="H24" s="284">
        <v>599114.5</v>
      </c>
      <c r="I24" s="284">
        <v>250.4135841170324</v>
      </c>
      <c r="J24" s="262"/>
      <c r="K24" s="262"/>
    </row>
    <row r="25" spans="1:11" ht="15" customHeight="1">
      <c r="A25" s="313" t="s">
        <v>438</v>
      </c>
      <c r="B25" s="275">
        <v>45</v>
      </c>
      <c r="C25" s="277">
        <v>2247</v>
      </c>
      <c r="D25" s="275">
        <v>0</v>
      </c>
      <c r="E25" s="277">
        <v>0</v>
      </c>
      <c r="F25" s="275">
        <v>45</v>
      </c>
      <c r="G25" s="277">
        <v>2247</v>
      </c>
      <c r="H25" s="284" t="s">
        <v>478</v>
      </c>
      <c r="I25" s="284">
        <v>223.55</v>
      </c>
      <c r="J25" s="262"/>
      <c r="K25" s="262"/>
    </row>
    <row r="26" spans="1:11" ht="15" customHeight="1">
      <c r="A26" s="313" t="s">
        <v>136</v>
      </c>
      <c r="B26" s="275">
        <v>71</v>
      </c>
      <c r="C26" s="277">
        <v>3544.5</v>
      </c>
      <c r="D26" s="275">
        <v>0</v>
      </c>
      <c r="E26" s="277">
        <v>0</v>
      </c>
      <c r="F26" s="275">
        <v>71</v>
      </c>
      <c r="G26" s="277">
        <v>3544.5</v>
      </c>
      <c r="H26" s="284" t="s">
        <v>479</v>
      </c>
      <c r="I26" s="284">
        <v>252.31</v>
      </c>
      <c r="J26" s="262"/>
      <c r="K26" s="262"/>
    </row>
    <row r="27" spans="1:11" ht="15" customHeight="1">
      <c r="A27" s="313" t="s">
        <v>67</v>
      </c>
      <c r="B27" s="275">
        <v>155</v>
      </c>
      <c r="C27" s="277">
        <v>7744</v>
      </c>
      <c r="D27" s="275">
        <v>90</v>
      </c>
      <c r="E27" s="277">
        <v>4494</v>
      </c>
      <c r="F27" s="275">
        <v>245</v>
      </c>
      <c r="G27" s="277">
        <v>12238</v>
      </c>
      <c r="H27" s="284" t="s">
        <v>480</v>
      </c>
      <c r="I27" s="284">
        <v>212.61</v>
      </c>
      <c r="J27" s="262"/>
      <c r="K27" s="262"/>
    </row>
    <row r="28" spans="1:11" ht="15" customHeight="1">
      <c r="A28" s="313" t="s">
        <v>71</v>
      </c>
      <c r="B28" s="275">
        <v>395</v>
      </c>
      <c r="C28" s="277">
        <v>19720</v>
      </c>
      <c r="D28" s="275">
        <v>150</v>
      </c>
      <c r="E28" s="277">
        <v>7489.7</v>
      </c>
      <c r="F28" s="275">
        <v>545</v>
      </c>
      <c r="G28" s="277">
        <v>27209.7</v>
      </c>
      <c r="H28" s="284" t="s">
        <v>481</v>
      </c>
      <c r="I28" s="284">
        <v>211.62</v>
      </c>
      <c r="J28" s="262"/>
      <c r="K28" s="262"/>
    </row>
    <row r="29" spans="1:11" ht="15" customHeight="1">
      <c r="A29" s="313" t="s">
        <v>77</v>
      </c>
      <c r="B29" s="275">
        <v>5</v>
      </c>
      <c r="C29" s="277">
        <v>249.5</v>
      </c>
      <c r="D29" s="275">
        <v>5</v>
      </c>
      <c r="E29" s="277">
        <v>249.5</v>
      </c>
      <c r="F29" s="275">
        <v>10</v>
      </c>
      <c r="G29" s="277">
        <v>499</v>
      </c>
      <c r="H29" s="284" t="s">
        <v>482</v>
      </c>
      <c r="I29" s="284">
        <v>250.5</v>
      </c>
      <c r="J29" s="262"/>
      <c r="K29" s="262"/>
    </row>
    <row r="30" spans="1:11" ht="15" customHeight="1">
      <c r="A30" s="313" t="s">
        <v>221</v>
      </c>
      <c r="B30" s="275">
        <v>230</v>
      </c>
      <c r="C30" s="277">
        <v>11468.5</v>
      </c>
      <c r="D30" s="275">
        <v>0</v>
      </c>
      <c r="E30" s="277">
        <v>0</v>
      </c>
      <c r="F30" s="275">
        <v>230</v>
      </c>
      <c r="G30" s="277">
        <v>11468.5</v>
      </c>
      <c r="H30" s="284" t="s">
        <v>483</v>
      </c>
      <c r="I30" s="284">
        <v>170.14</v>
      </c>
      <c r="J30" s="262"/>
      <c r="K30" s="262"/>
    </row>
    <row r="31" spans="1:11" ht="15" customHeight="1">
      <c r="A31" s="313" t="s">
        <v>81</v>
      </c>
      <c r="B31" s="275">
        <v>10</v>
      </c>
      <c r="C31" s="277">
        <v>498.5</v>
      </c>
      <c r="D31" s="275">
        <v>0</v>
      </c>
      <c r="E31" s="277">
        <v>0</v>
      </c>
      <c r="F31" s="275">
        <v>10</v>
      </c>
      <c r="G31" s="277">
        <v>498.5</v>
      </c>
      <c r="H31" s="284" t="s">
        <v>66</v>
      </c>
      <c r="I31" s="284">
        <v>265</v>
      </c>
      <c r="J31" s="262"/>
      <c r="K31" s="262"/>
    </row>
    <row r="32" spans="1:11" ht="15" customHeight="1">
      <c r="A32" s="313" t="s">
        <v>83</v>
      </c>
      <c r="B32" s="275">
        <v>50</v>
      </c>
      <c r="C32" s="277">
        <v>2492.5</v>
      </c>
      <c r="D32" s="275">
        <v>40</v>
      </c>
      <c r="E32" s="277">
        <v>1996.8</v>
      </c>
      <c r="F32" s="275">
        <v>90</v>
      </c>
      <c r="G32" s="277">
        <v>4489.3</v>
      </c>
      <c r="H32" s="284" t="s">
        <v>484</v>
      </c>
      <c r="I32" s="284">
        <v>216.57</v>
      </c>
      <c r="J32" s="262"/>
      <c r="K32" s="262"/>
    </row>
    <row r="33" spans="1:11" ht="15" customHeight="1">
      <c r="A33" s="313" t="s">
        <v>150</v>
      </c>
      <c r="B33" s="275">
        <v>42</v>
      </c>
      <c r="C33" s="277">
        <v>2091</v>
      </c>
      <c r="D33" s="275">
        <v>10</v>
      </c>
      <c r="E33" s="277">
        <v>498.7</v>
      </c>
      <c r="F33" s="275">
        <v>52</v>
      </c>
      <c r="G33" s="277">
        <v>2589.7</v>
      </c>
      <c r="H33" s="284" t="s">
        <v>485</v>
      </c>
      <c r="I33" s="284">
        <v>178.12</v>
      </c>
      <c r="J33" s="262"/>
      <c r="K33" s="262"/>
    </row>
    <row r="34" spans="1:11" ht="15" customHeight="1">
      <c r="A34" s="313" t="s">
        <v>226</v>
      </c>
      <c r="B34" s="275"/>
      <c r="C34" s="277">
        <v>0</v>
      </c>
      <c r="D34" s="275">
        <v>10</v>
      </c>
      <c r="E34" s="277">
        <v>499.2</v>
      </c>
      <c r="F34" s="275">
        <v>10</v>
      </c>
      <c r="G34" s="277">
        <v>499.2</v>
      </c>
      <c r="H34" s="284" t="s">
        <v>486</v>
      </c>
      <c r="I34" s="284">
        <v>214</v>
      </c>
      <c r="J34" s="262"/>
      <c r="K34" s="262"/>
    </row>
    <row r="35" spans="1:11" ht="15" customHeight="1">
      <c r="A35" s="313" t="s">
        <v>155</v>
      </c>
      <c r="B35" s="275">
        <v>10</v>
      </c>
      <c r="C35" s="277">
        <v>498.5</v>
      </c>
      <c r="D35" s="275">
        <v>0</v>
      </c>
      <c r="E35" s="277">
        <v>0</v>
      </c>
      <c r="F35" s="275">
        <v>10</v>
      </c>
      <c r="G35" s="277">
        <v>498.5</v>
      </c>
      <c r="H35" s="284" t="s">
        <v>203</v>
      </c>
      <c r="I35" s="284">
        <v>302</v>
      </c>
      <c r="J35" s="262"/>
      <c r="K35" s="262"/>
    </row>
    <row r="36" spans="1:11" ht="15" customHeight="1">
      <c r="A36" s="313" t="s">
        <v>94</v>
      </c>
      <c r="B36" s="275"/>
      <c r="C36" s="277">
        <v>0</v>
      </c>
      <c r="D36" s="275">
        <v>10</v>
      </c>
      <c r="E36" s="277">
        <v>499.2</v>
      </c>
      <c r="F36" s="275">
        <v>10</v>
      </c>
      <c r="G36" s="277">
        <v>499.2</v>
      </c>
      <c r="H36" s="284">
        <v>90854.4</v>
      </c>
      <c r="I36" s="284">
        <v>182</v>
      </c>
      <c r="J36" s="262"/>
      <c r="K36" s="262"/>
    </row>
    <row r="37" spans="1:11" ht="15" customHeight="1">
      <c r="A37" s="313" t="s">
        <v>96</v>
      </c>
      <c r="B37" s="275">
        <v>10</v>
      </c>
      <c r="C37" s="277">
        <v>498.5</v>
      </c>
      <c r="D37" s="275">
        <v>0</v>
      </c>
      <c r="E37" s="277">
        <v>0</v>
      </c>
      <c r="F37" s="275">
        <v>10</v>
      </c>
      <c r="G37" s="277">
        <v>498.5</v>
      </c>
      <c r="H37" s="284" t="s">
        <v>487</v>
      </c>
      <c r="I37" s="284">
        <v>274</v>
      </c>
      <c r="J37" s="262"/>
      <c r="K37" s="262"/>
    </row>
    <row r="38" spans="1:11" ht="15" customHeight="1">
      <c r="A38" s="313" t="s">
        <v>98</v>
      </c>
      <c r="B38" s="275">
        <v>298</v>
      </c>
      <c r="C38" s="277">
        <v>14838.5</v>
      </c>
      <c r="D38" s="275">
        <v>0</v>
      </c>
      <c r="E38" s="277">
        <v>0</v>
      </c>
      <c r="F38" s="275">
        <v>298</v>
      </c>
      <c r="G38" s="277">
        <v>14838.5</v>
      </c>
      <c r="H38" s="284">
        <v>2622986</v>
      </c>
      <c r="I38" s="284">
        <v>176.76894564814503</v>
      </c>
      <c r="J38" s="262"/>
      <c r="K38" s="262"/>
    </row>
    <row r="39" spans="1:11" ht="15" customHeight="1">
      <c r="A39" s="313" t="s">
        <v>99</v>
      </c>
      <c r="B39" s="275">
        <v>20</v>
      </c>
      <c r="C39" s="277">
        <v>998.5</v>
      </c>
      <c r="D39" s="275">
        <v>97</v>
      </c>
      <c r="E39" s="277">
        <v>4841.9</v>
      </c>
      <c r="F39" s="275">
        <v>117</v>
      </c>
      <c r="G39" s="277">
        <v>5840.4</v>
      </c>
      <c r="H39" s="284" t="s">
        <v>488</v>
      </c>
      <c r="I39" s="284">
        <v>245.99</v>
      </c>
      <c r="J39" s="262"/>
      <c r="K39" s="262"/>
    </row>
    <row r="40" spans="1:11" ht="15" customHeight="1">
      <c r="A40" s="313" t="s">
        <v>489</v>
      </c>
      <c r="B40" s="275">
        <v>10</v>
      </c>
      <c r="C40" s="277">
        <v>497</v>
      </c>
      <c r="D40" s="275">
        <v>0</v>
      </c>
      <c r="E40" s="277">
        <v>0</v>
      </c>
      <c r="F40" s="275">
        <v>10</v>
      </c>
      <c r="G40" s="277">
        <v>497</v>
      </c>
      <c r="H40" s="284">
        <v>74550</v>
      </c>
      <c r="I40" s="284">
        <v>150</v>
      </c>
      <c r="J40" s="262"/>
      <c r="K40" s="262"/>
    </row>
    <row r="41" spans="1:11" ht="15" customHeight="1">
      <c r="A41" s="313" t="s">
        <v>490</v>
      </c>
      <c r="B41" s="275"/>
      <c r="C41" s="277">
        <v>0</v>
      </c>
      <c r="D41" s="275">
        <v>5</v>
      </c>
      <c r="E41" s="277">
        <v>249.2</v>
      </c>
      <c r="F41" s="275">
        <v>5</v>
      </c>
      <c r="G41" s="277">
        <v>249.2</v>
      </c>
      <c r="H41" s="284">
        <v>49840</v>
      </c>
      <c r="I41" s="284">
        <v>200</v>
      </c>
      <c r="J41" s="262"/>
      <c r="K41" s="262"/>
    </row>
    <row r="42" spans="1:11" ht="15" customHeight="1">
      <c r="A42" s="313" t="s">
        <v>14</v>
      </c>
      <c r="B42" s="275">
        <v>1801</v>
      </c>
      <c r="C42" s="277">
        <v>89833.5</v>
      </c>
      <c r="D42" s="275">
        <v>452</v>
      </c>
      <c r="E42" s="277">
        <v>22565.6</v>
      </c>
      <c r="F42" s="275">
        <v>2253</v>
      </c>
      <c r="G42" s="277" t="s">
        <v>491</v>
      </c>
      <c r="H42" s="284" t="s">
        <v>492</v>
      </c>
      <c r="I42" s="284">
        <v>206.03</v>
      </c>
      <c r="J42" s="262"/>
      <c r="K42" s="262"/>
    </row>
    <row r="43" spans="1:11" ht="15" customHeight="1">
      <c r="A43" s="283"/>
      <c r="B43" s="286"/>
      <c r="C43" s="294"/>
      <c r="D43" s="287"/>
      <c r="E43" s="288"/>
      <c r="F43" s="286"/>
      <c r="G43" s="288"/>
      <c r="H43" s="284"/>
      <c r="I43" s="295"/>
      <c r="J43" s="262"/>
      <c r="K43" s="262"/>
    </row>
    <row r="44" spans="1:11" ht="15" customHeight="1">
      <c r="A44" s="263" t="s">
        <v>117</v>
      </c>
      <c r="B44" s="289"/>
      <c r="C44" s="276"/>
      <c r="D44" s="289"/>
      <c r="E44" s="290"/>
      <c r="F44" s="289"/>
      <c r="G44" s="276"/>
      <c r="H44" s="278"/>
      <c r="I44" s="278"/>
      <c r="J44" s="262"/>
      <c r="K44" s="262"/>
    </row>
    <row r="45" spans="1:11" ht="15" customHeight="1">
      <c r="A45" s="263" t="s">
        <v>118</v>
      </c>
      <c r="B45" s="289"/>
      <c r="C45" s="276"/>
      <c r="D45" s="289"/>
      <c r="E45" s="290"/>
      <c r="F45" s="291"/>
      <c r="G45" s="292" t="s">
        <v>119</v>
      </c>
      <c r="H45" s="278"/>
      <c r="I45" s="278"/>
      <c r="J45" s="262"/>
      <c r="K45" s="262"/>
    </row>
    <row r="46" spans="1:11" ht="15" customHeight="1">
      <c r="A46" s="263" t="s">
        <v>120</v>
      </c>
      <c r="B46" s="289"/>
      <c r="C46" s="276"/>
      <c r="D46" s="289"/>
      <c r="E46" s="1"/>
      <c r="F46" s="290"/>
      <c r="G46" s="293" t="s">
        <v>121</v>
      </c>
      <c r="H46" s="278"/>
      <c r="I46" s="278"/>
      <c r="J46" s="262"/>
      <c r="K46" s="262"/>
    </row>
    <row r="47" spans="1:11" ht="15" customHeight="1">
      <c r="A47" s="263" t="s">
        <v>122</v>
      </c>
      <c r="B47" s="289"/>
      <c r="C47" s="276"/>
      <c r="D47" s="289"/>
      <c r="E47" s="290"/>
      <c r="F47" s="289"/>
      <c r="G47" s="276"/>
      <c r="H47" s="278"/>
      <c r="I47" s="278"/>
      <c r="J47" s="262"/>
      <c r="K47" s="262"/>
    </row>
    <row r="48" spans="1:11" ht="15" customHeight="1">
      <c r="A48" s="263" t="s">
        <v>123</v>
      </c>
      <c r="B48" s="289"/>
      <c r="C48" s="276"/>
      <c r="D48" s="289"/>
      <c r="E48" s="290"/>
      <c r="F48" s="289"/>
      <c r="G48" s="276"/>
      <c r="H48" s="278"/>
      <c r="I48" s="278"/>
      <c r="J48" s="262"/>
      <c r="K48" s="262"/>
    </row>
    <row r="49" spans="1:10" ht="15" customHeight="1">
      <c r="A49" s="1"/>
      <c r="J49" s="1"/>
    </row>
    <row r="50" spans="1:10" ht="15" customHeight="1">
      <c r="A50" s="1"/>
      <c r="J50" s="1"/>
    </row>
    <row r="51" spans="1:10" ht="15" customHeight="1">
      <c r="A51" s="1"/>
      <c r="J51" s="1"/>
    </row>
    <row r="52" spans="1:10" ht="15" customHeight="1">
      <c r="A52" s="1"/>
      <c r="J52" s="1"/>
    </row>
    <row r="53" spans="1:10" ht="15" customHeight="1">
      <c r="A53" s="1"/>
      <c r="J53" s="1"/>
    </row>
    <row r="54" spans="1:10" ht="15" customHeight="1">
      <c r="A54" s="1"/>
      <c r="J54" s="1"/>
    </row>
    <row r="55" spans="1:10" ht="15" customHeight="1">
      <c r="A55" s="1"/>
      <c r="J55" s="1"/>
    </row>
    <row r="56" ht="15" customHeight="1">
      <c r="A56" s="1"/>
    </row>
    <row r="57" ht="15" customHeight="1">
      <c r="A57" s="1"/>
    </row>
    <row r="58" spans="1:9" ht="15" customHeight="1">
      <c r="A58" s="41"/>
      <c r="B58" s="42"/>
      <c r="C58" s="44"/>
      <c r="D58" s="42"/>
      <c r="E58" s="44"/>
      <c r="F58" s="42"/>
      <c r="G58" s="44"/>
      <c r="H58" s="47"/>
      <c r="I58" s="47"/>
    </row>
    <row r="59" spans="1:9" ht="15" customHeight="1">
      <c r="A59" s="41"/>
      <c r="B59" s="42"/>
      <c r="C59" s="44"/>
      <c r="D59" s="42"/>
      <c r="E59" s="44"/>
      <c r="F59" s="42"/>
      <c r="G59" s="44"/>
      <c r="H59" s="47"/>
      <c r="I59" s="47"/>
    </row>
    <row r="60" spans="1:9" ht="15" customHeight="1">
      <c r="A60" s="41"/>
      <c r="B60" s="42"/>
      <c r="C60" s="44"/>
      <c r="D60" s="42"/>
      <c r="E60" s="44"/>
      <c r="F60" s="42"/>
      <c r="G60" s="44"/>
      <c r="H60" s="47"/>
      <c r="I60" s="47"/>
    </row>
    <row r="61" spans="1:9" ht="15" customHeight="1">
      <c r="A61" s="41"/>
      <c r="B61" s="42"/>
      <c r="C61" s="44"/>
      <c r="D61" s="42"/>
      <c r="E61" s="44"/>
      <c r="F61" s="42"/>
      <c r="G61" s="44"/>
      <c r="H61" s="47"/>
      <c r="I61" s="47"/>
    </row>
    <row r="62" spans="1:9" ht="15" customHeight="1">
      <c r="A62" s="41"/>
      <c r="B62" s="42"/>
      <c r="C62" s="44"/>
      <c r="D62" s="42"/>
      <c r="E62" s="44"/>
      <c r="F62" s="42"/>
      <c r="G62" s="44"/>
      <c r="H62" s="47"/>
      <c r="I62" s="47"/>
    </row>
    <row r="63" spans="1:9" ht="15" customHeight="1">
      <c r="A63" s="41"/>
      <c r="B63" s="42"/>
      <c r="C63" s="44"/>
      <c r="D63" s="42"/>
      <c r="E63" s="44"/>
      <c r="F63" s="42"/>
      <c r="G63" s="44"/>
      <c r="H63" s="47"/>
      <c r="I63" s="47"/>
    </row>
    <row r="64" spans="1:9" ht="15" customHeight="1">
      <c r="A64" s="41"/>
      <c r="B64" s="42"/>
      <c r="C64" s="44"/>
      <c r="D64" s="42"/>
      <c r="E64" s="44"/>
      <c r="F64" s="42"/>
      <c r="G64" s="44"/>
      <c r="H64" s="47"/>
      <c r="I64" s="47"/>
    </row>
    <row r="65" spans="1:9" ht="15" customHeight="1">
      <c r="A65" s="41"/>
      <c r="B65" s="42"/>
      <c r="C65" s="44"/>
      <c r="D65" s="42"/>
      <c r="E65" s="44"/>
      <c r="F65" s="42"/>
      <c r="G65" s="44"/>
      <c r="H65" s="47"/>
      <c r="I65" s="47"/>
    </row>
    <row r="66" spans="1:9" ht="15" customHeight="1">
      <c r="A66" s="41"/>
      <c r="B66" s="42"/>
      <c r="C66" s="44"/>
      <c r="D66" s="42"/>
      <c r="E66" s="44"/>
      <c r="F66" s="42"/>
      <c r="G66" s="44"/>
      <c r="H66" s="47"/>
      <c r="I66" s="47"/>
    </row>
    <row r="67" spans="1:9" ht="15" customHeight="1">
      <c r="A67" s="41"/>
      <c r="B67" s="42"/>
      <c r="C67" s="44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4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4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4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4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4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4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4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4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4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4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4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4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4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4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4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4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4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4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4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4"/>
      <c r="D89" s="42"/>
      <c r="E89" s="44"/>
      <c r="F89" s="42"/>
      <c r="G89" s="44"/>
      <c r="H89" s="47"/>
      <c r="I89" s="47"/>
    </row>
    <row r="90" spans="1:9" ht="15" customHeight="1">
      <c r="A90" s="41"/>
      <c r="B90" s="42"/>
      <c r="C90" s="44"/>
      <c r="D90" s="42"/>
      <c r="E90" s="44"/>
      <c r="F90" s="42"/>
      <c r="G90" s="44"/>
      <c r="H90" s="47"/>
      <c r="I90" s="47"/>
    </row>
    <row r="91" spans="1:9" ht="15" customHeight="1">
      <c r="A91" s="41"/>
      <c r="B91" s="42"/>
      <c r="C91" s="44"/>
      <c r="D91" s="42"/>
      <c r="E91" s="44"/>
      <c r="F91" s="42"/>
      <c r="G91" s="44"/>
      <c r="H91" s="47"/>
      <c r="I91" s="47"/>
    </row>
    <row r="92" spans="1:9" ht="15" customHeight="1">
      <c r="A92" s="41"/>
      <c r="B92" s="42"/>
      <c r="C92" s="44"/>
      <c r="D92" s="42"/>
      <c r="E92" s="44"/>
      <c r="F92" s="42"/>
      <c r="G92" s="44"/>
      <c r="H92" s="47"/>
      <c r="I92" s="47"/>
    </row>
    <row r="93" spans="1:9" ht="15" customHeight="1">
      <c r="A93" s="41"/>
      <c r="B93" s="42"/>
      <c r="C93" s="44"/>
      <c r="D93" s="42"/>
      <c r="E93" s="44"/>
      <c r="F93" s="42"/>
      <c r="G93" s="44"/>
      <c r="H93" s="47"/>
      <c r="I93" s="47"/>
    </row>
    <row r="94" spans="1:9" ht="15" customHeight="1">
      <c r="A94" s="41"/>
      <c r="B94" s="42"/>
      <c r="C94" s="44"/>
      <c r="D94" s="42"/>
      <c r="E94" s="44"/>
      <c r="F94" s="42"/>
      <c r="G94" s="44"/>
      <c r="H94" s="47"/>
      <c r="I94" s="47"/>
    </row>
    <row r="95" spans="1:9" ht="15" customHeight="1">
      <c r="A95" s="41"/>
      <c r="B95" s="42"/>
      <c r="C95" s="44"/>
      <c r="D95" s="42"/>
      <c r="E95" s="44"/>
      <c r="F95" s="42"/>
      <c r="G95" s="44"/>
      <c r="H95" s="47"/>
      <c r="I95" s="47"/>
    </row>
    <row r="96" spans="1:9" ht="15" customHeight="1">
      <c r="A96" s="41"/>
      <c r="B96" s="42"/>
      <c r="C96" s="44"/>
      <c r="D96" s="42"/>
      <c r="E96" s="44"/>
      <c r="F96" s="42"/>
      <c r="G96" s="44"/>
      <c r="H96" s="47"/>
      <c r="I96" s="47"/>
    </row>
    <row r="97" spans="1:9" ht="15" customHeight="1">
      <c r="A97" s="41"/>
      <c r="B97" s="42"/>
      <c r="C97" s="44"/>
      <c r="D97" s="42"/>
      <c r="E97" s="44"/>
      <c r="F97" s="42"/>
      <c r="G97" s="44"/>
      <c r="H97" s="47"/>
      <c r="I97" s="47"/>
    </row>
  </sheetData>
  <sheetProtection/>
  <printOptions/>
  <pageMargins left="0.7" right="0.7" top="0.58" bottom="0.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K10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0.140625" style="177" customWidth="1"/>
    <col min="2" max="2" width="7.140625" style="31" customWidth="1"/>
    <col min="3" max="3" width="10.28125" style="244" customWidth="1"/>
    <col min="4" max="4" width="7.7109375" style="31" customWidth="1"/>
    <col min="5" max="5" width="10.28125" style="244" bestFit="1" customWidth="1"/>
    <col min="6" max="6" width="7.57421875" style="31" customWidth="1"/>
    <col min="7" max="7" width="11.421875" style="244" bestFit="1" customWidth="1"/>
    <col min="8" max="8" width="14.140625" style="48" bestFit="1" customWidth="1"/>
    <col min="9" max="9" width="8.8515625" style="48" customWidth="1"/>
    <col min="10" max="16384" width="8.8515625" style="177" customWidth="1"/>
  </cols>
  <sheetData>
    <row r="1" spans="1:11" ht="15" customHeight="1">
      <c r="A1" s="263" t="s">
        <v>423</v>
      </c>
      <c r="B1" s="264"/>
      <c r="C1" s="265"/>
      <c r="D1" s="264"/>
      <c r="E1" s="266"/>
      <c r="F1" s="264"/>
      <c r="G1" s="265"/>
      <c r="H1" s="267"/>
      <c r="I1" s="267"/>
      <c r="J1" s="262"/>
      <c r="K1" s="262"/>
    </row>
    <row r="2" spans="1:11" ht="15" customHeight="1">
      <c r="A2" s="263" t="s">
        <v>424</v>
      </c>
      <c r="B2" s="264"/>
      <c r="C2" s="265"/>
      <c r="D2" s="264"/>
      <c r="E2" s="266"/>
      <c r="F2" s="264"/>
      <c r="G2" s="265"/>
      <c r="H2" s="267"/>
      <c r="I2" s="267"/>
      <c r="J2" s="262"/>
      <c r="K2" s="262"/>
    </row>
    <row r="3" spans="1:11" ht="15" customHeight="1">
      <c r="A3" s="263" t="s">
        <v>110</v>
      </c>
      <c r="B3" s="264"/>
      <c r="C3" s="265"/>
      <c r="D3" s="264"/>
      <c r="E3" s="266"/>
      <c r="F3" s="264"/>
      <c r="G3" s="265"/>
      <c r="H3" s="267"/>
      <c r="I3" s="267"/>
      <c r="J3" s="262"/>
      <c r="K3" s="262"/>
    </row>
    <row r="4" spans="1:11" ht="15" customHeight="1">
      <c r="A4" s="263" t="s">
        <v>5</v>
      </c>
      <c r="B4" s="264"/>
      <c r="C4" s="265"/>
      <c r="D4" s="264"/>
      <c r="E4" s="266"/>
      <c r="F4" s="264"/>
      <c r="G4" s="265"/>
      <c r="H4" s="267"/>
      <c r="I4" s="267"/>
      <c r="J4" s="262"/>
      <c r="K4" s="262"/>
    </row>
    <row r="5" spans="1:11" ht="15" customHeight="1">
      <c r="A5" s="263" t="s">
        <v>6</v>
      </c>
      <c r="B5" s="264"/>
      <c r="C5" s="265"/>
      <c r="D5" s="264"/>
      <c r="E5" s="268"/>
      <c r="F5" s="264"/>
      <c r="G5" s="265"/>
      <c r="H5" s="267"/>
      <c r="I5" s="267"/>
      <c r="J5" s="262"/>
      <c r="K5" s="262"/>
    </row>
    <row r="6" spans="1:11" ht="15" customHeight="1">
      <c r="A6" s="263" t="s">
        <v>111</v>
      </c>
      <c r="B6" s="264"/>
      <c r="C6" s="265"/>
      <c r="D6" s="264"/>
      <c r="E6" s="266"/>
      <c r="F6" s="264"/>
      <c r="G6" s="265"/>
      <c r="H6" s="267"/>
      <c r="I6" s="267"/>
      <c r="J6" s="262"/>
      <c r="K6" s="262"/>
    </row>
    <row r="7" spans="1:11" ht="15" customHeight="1">
      <c r="A7" s="263" t="s">
        <v>112</v>
      </c>
      <c r="B7" s="264"/>
      <c r="C7" s="265"/>
      <c r="D7" s="264"/>
      <c r="E7" s="269" t="s">
        <v>113</v>
      </c>
      <c r="F7" s="264"/>
      <c r="G7" s="265"/>
      <c r="H7" s="267"/>
      <c r="I7" s="267"/>
      <c r="J7" s="262"/>
      <c r="K7" s="262"/>
    </row>
    <row r="8" spans="1:11" ht="15" customHeight="1">
      <c r="A8" s="263" t="s">
        <v>429</v>
      </c>
      <c r="B8" s="270"/>
      <c r="C8" s="271"/>
      <c r="D8" s="270"/>
      <c r="E8" s="272"/>
      <c r="F8" s="270"/>
      <c r="G8" s="271"/>
      <c r="H8" s="273"/>
      <c r="I8" s="273"/>
      <c r="J8" s="262"/>
      <c r="K8" s="262"/>
    </row>
    <row r="9" spans="1:11" ht="15" customHeight="1">
      <c r="A9" s="274"/>
      <c r="B9" s="275" t="s">
        <v>45</v>
      </c>
      <c r="C9" s="276"/>
      <c r="D9" s="275" t="s">
        <v>46</v>
      </c>
      <c r="E9" s="276"/>
      <c r="F9" s="275"/>
      <c r="G9" s="277" t="s">
        <v>47</v>
      </c>
      <c r="H9" s="278"/>
      <c r="I9" s="278"/>
      <c r="J9" s="262"/>
      <c r="K9" s="262"/>
    </row>
    <row r="10" spans="1:11" s="296" customFormat="1" ht="15" customHeight="1">
      <c r="A10" s="279" t="s">
        <v>461</v>
      </c>
      <c r="B10" s="280" t="s">
        <v>49</v>
      </c>
      <c r="C10" s="281" t="s">
        <v>50</v>
      </c>
      <c r="D10" s="280" t="s">
        <v>49</v>
      </c>
      <c r="E10" s="281" t="s">
        <v>50</v>
      </c>
      <c r="F10" s="280" t="s">
        <v>49</v>
      </c>
      <c r="G10" s="281" t="s">
        <v>50</v>
      </c>
      <c r="H10" s="282" t="s">
        <v>51</v>
      </c>
      <c r="I10" s="282" t="s">
        <v>52</v>
      </c>
      <c r="J10" s="262"/>
      <c r="K10" s="262"/>
    </row>
    <row r="11" spans="1:11" s="296" customFormat="1" ht="15" customHeight="1">
      <c r="A11" s="283" t="s">
        <v>71</v>
      </c>
      <c r="B11" s="297"/>
      <c r="C11" s="298">
        <v>0</v>
      </c>
      <c r="D11" s="299">
        <v>5</v>
      </c>
      <c r="E11" s="300">
        <v>249.5</v>
      </c>
      <c r="F11" s="299">
        <v>5</v>
      </c>
      <c r="G11" s="300">
        <v>249.5</v>
      </c>
      <c r="H11" s="301">
        <v>52395</v>
      </c>
      <c r="I11" s="302">
        <v>210</v>
      </c>
      <c r="J11" s="262"/>
      <c r="K11" s="262"/>
    </row>
    <row r="12" spans="1:11" s="296" customFormat="1" ht="15" customHeight="1">
      <c r="A12" s="274" t="s">
        <v>14</v>
      </c>
      <c r="B12" s="301">
        <f aca="true" t="shared" si="0" ref="B12:H12">SUM(B11)</f>
        <v>0</v>
      </c>
      <c r="C12" s="303">
        <f t="shared" si="0"/>
        <v>0</v>
      </c>
      <c r="D12" s="304">
        <f t="shared" si="0"/>
        <v>5</v>
      </c>
      <c r="E12" s="303">
        <f t="shared" si="0"/>
        <v>249.5</v>
      </c>
      <c r="F12" s="304">
        <f t="shared" si="0"/>
        <v>5</v>
      </c>
      <c r="G12" s="303">
        <f t="shared" si="0"/>
        <v>249.5</v>
      </c>
      <c r="H12" s="301">
        <f t="shared" si="0"/>
        <v>52395</v>
      </c>
      <c r="I12" s="301">
        <f>H12/G12</f>
        <v>210</v>
      </c>
      <c r="J12" s="262"/>
      <c r="K12" s="262"/>
    </row>
    <row r="13" spans="1:11" s="296" customFormat="1" ht="15" customHeight="1">
      <c r="A13" s="274"/>
      <c r="B13" s="284"/>
      <c r="C13" s="277"/>
      <c r="D13" s="275"/>
      <c r="E13" s="277"/>
      <c r="F13" s="275"/>
      <c r="G13" s="277"/>
      <c r="H13" s="284"/>
      <c r="I13" s="284"/>
      <c r="J13" s="262"/>
      <c r="K13" s="262"/>
    </row>
    <row r="14" spans="1:11" ht="15" customHeight="1">
      <c r="A14" s="279" t="s">
        <v>462</v>
      </c>
      <c r="B14" s="280" t="s">
        <v>49</v>
      </c>
      <c r="C14" s="281" t="s">
        <v>50</v>
      </c>
      <c r="D14" s="280" t="s">
        <v>49</v>
      </c>
      <c r="E14" s="281" t="s">
        <v>50</v>
      </c>
      <c r="F14" s="280" t="s">
        <v>49</v>
      </c>
      <c r="G14" s="281" t="s">
        <v>50</v>
      </c>
      <c r="H14" s="282" t="s">
        <v>51</v>
      </c>
      <c r="I14" s="282" t="s">
        <v>52</v>
      </c>
      <c r="J14" s="262"/>
      <c r="K14" s="262"/>
    </row>
    <row r="15" spans="1:11" ht="15" customHeight="1">
      <c r="A15" s="283" t="s">
        <v>53</v>
      </c>
      <c r="B15" s="287">
        <v>327</v>
      </c>
      <c r="C15" s="294">
        <v>16309.5</v>
      </c>
      <c r="D15" s="287">
        <v>45</v>
      </c>
      <c r="E15" s="288">
        <v>2246.3</v>
      </c>
      <c r="F15" s="287">
        <v>372</v>
      </c>
      <c r="G15" s="288">
        <v>18555.8</v>
      </c>
      <c r="H15" s="284" t="s">
        <v>430</v>
      </c>
      <c r="I15" s="295">
        <v>193.08</v>
      </c>
      <c r="J15" s="262"/>
      <c r="K15" s="262"/>
    </row>
    <row r="16" spans="1:11" ht="15" customHeight="1">
      <c r="A16" s="283" t="s">
        <v>168</v>
      </c>
      <c r="B16" s="287">
        <v>10</v>
      </c>
      <c r="C16" s="294">
        <v>498.5</v>
      </c>
      <c r="D16" s="287">
        <v>0</v>
      </c>
      <c r="E16" s="288">
        <v>0</v>
      </c>
      <c r="F16" s="287">
        <v>10</v>
      </c>
      <c r="G16" s="288">
        <v>498.5</v>
      </c>
      <c r="H16" s="284" t="s">
        <v>431</v>
      </c>
      <c r="I16" s="295">
        <v>256</v>
      </c>
      <c r="J16" s="262"/>
      <c r="K16" s="262"/>
    </row>
    <row r="17" spans="1:11" ht="15" customHeight="1">
      <c r="A17" s="283" t="s">
        <v>128</v>
      </c>
      <c r="B17" s="287">
        <v>40</v>
      </c>
      <c r="C17" s="294">
        <v>1994</v>
      </c>
      <c r="D17" s="287">
        <v>26</v>
      </c>
      <c r="E17" s="288">
        <v>1297.2</v>
      </c>
      <c r="F17" s="287">
        <v>66</v>
      </c>
      <c r="G17" s="288">
        <v>3291.2</v>
      </c>
      <c r="H17" s="284" t="s">
        <v>432</v>
      </c>
      <c r="I17" s="295">
        <v>187.65</v>
      </c>
      <c r="J17" s="262"/>
      <c r="K17" s="262"/>
    </row>
    <row r="18" spans="1:11" ht="15" customHeight="1">
      <c r="A18" s="283" t="s">
        <v>171</v>
      </c>
      <c r="B18" s="287">
        <v>10</v>
      </c>
      <c r="C18" s="294">
        <v>498.5</v>
      </c>
      <c r="D18" s="287">
        <v>0</v>
      </c>
      <c r="E18" s="288">
        <v>0</v>
      </c>
      <c r="F18" s="287">
        <v>10</v>
      </c>
      <c r="G18" s="288">
        <v>498.5</v>
      </c>
      <c r="H18" s="284" t="s">
        <v>336</v>
      </c>
      <c r="I18" s="295">
        <v>250</v>
      </c>
      <c r="J18" s="262"/>
      <c r="K18" s="262"/>
    </row>
    <row r="19" spans="1:11" ht="15" customHeight="1">
      <c r="A19" s="283" t="s">
        <v>173</v>
      </c>
      <c r="B19" s="274"/>
      <c r="C19" s="294">
        <v>0</v>
      </c>
      <c r="D19" s="287">
        <v>10</v>
      </c>
      <c r="E19" s="288">
        <v>499.2</v>
      </c>
      <c r="F19" s="287">
        <v>10</v>
      </c>
      <c r="G19" s="288">
        <v>499.2</v>
      </c>
      <c r="H19" s="284" t="s">
        <v>433</v>
      </c>
      <c r="I19" s="295">
        <v>206</v>
      </c>
      <c r="J19" s="262"/>
      <c r="K19" s="262"/>
    </row>
    <row r="20" spans="1:11" ht="15" customHeight="1">
      <c r="A20" s="283" t="s">
        <v>57</v>
      </c>
      <c r="B20" s="287">
        <v>60</v>
      </c>
      <c r="C20" s="294">
        <v>2992.5</v>
      </c>
      <c r="D20" s="287">
        <v>0</v>
      </c>
      <c r="E20" s="288">
        <v>0</v>
      </c>
      <c r="F20" s="287">
        <v>60</v>
      </c>
      <c r="G20" s="288">
        <v>2992.5</v>
      </c>
      <c r="H20" s="284" t="s">
        <v>434</v>
      </c>
      <c r="I20" s="295">
        <v>171.66</v>
      </c>
      <c r="J20" s="262"/>
      <c r="K20" s="262"/>
    </row>
    <row r="21" spans="1:11" ht="15" customHeight="1">
      <c r="A21" s="283" t="s">
        <v>205</v>
      </c>
      <c r="B21" s="287">
        <v>20</v>
      </c>
      <c r="C21" s="294">
        <v>997</v>
      </c>
      <c r="D21" s="287">
        <v>0</v>
      </c>
      <c r="E21" s="288">
        <v>0</v>
      </c>
      <c r="F21" s="287">
        <v>20</v>
      </c>
      <c r="G21" s="288">
        <v>997</v>
      </c>
      <c r="H21" s="284" t="s">
        <v>435</v>
      </c>
      <c r="I21" s="295">
        <v>123.5</v>
      </c>
      <c r="J21" s="262"/>
      <c r="K21" s="262"/>
    </row>
    <row r="22" spans="1:11" ht="15" customHeight="1">
      <c r="A22" s="283" t="s">
        <v>61</v>
      </c>
      <c r="B22" s="287">
        <v>50</v>
      </c>
      <c r="C22" s="294">
        <v>2492.5</v>
      </c>
      <c r="D22" s="287">
        <v>0</v>
      </c>
      <c r="E22" s="288">
        <v>0</v>
      </c>
      <c r="F22" s="287">
        <v>50</v>
      </c>
      <c r="G22" s="288">
        <v>2492.5</v>
      </c>
      <c r="H22" s="284" t="s">
        <v>436</v>
      </c>
      <c r="I22" s="295">
        <v>213.8</v>
      </c>
      <c r="J22" s="262"/>
      <c r="K22" s="262"/>
    </row>
    <row r="23" spans="1:11" ht="15" customHeight="1">
      <c r="A23" s="283" t="s">
        <v>63</v>
      </c>
      <c r="B23" s="287">
        <v>45</v>
      </c>
      <c r="C23" s="294">
        <v>2244</v>
      </c>
      <c r="D23" s="287">
        <v>0</v>
      </c>
      <c r="E23" s="288">
        <v>0</v>
      </c>
      <c r="F23" s="287">
        <v>45</v>
      </c>
      <c r="G23" s="288">
        <v>2244</v>
      </c>
      <c r="H23" s="284" t="s">
        <v>437</v>
      </c>
      <c r="I23" s="295">
        <v>182.13</v>
      </c>
      <c r="J23" s="262"/>
      <c r="K23" s="262"/>
    </row>
    <row r="24" spans="1:11" ht="15" customHeight="1">
      <c r="A24" s="283" t="s">
        <v>438</v>
      </c>
      <c r="B24" s="287">
        <v>25</v>
      </c>
      <c r="C24" s="294">
        <v>1247</v>
      </c>
      <c r="D24" s="287">
        <v>0</v>
      </c>
      <c r="E24" s="288">
        <v>0</v>
      </c>
      <c r="F24" s="287">
        <v>25</v>
      </c>
      <c r="G24" s="288">
        <v>1247</v>
      </c>
      <c r="H24" s="284" t="s">
        <v>439</v>
      </c>
      <c r="I24" s="295">
        <v>210.4</v>
      </c>
      <c r="J24" s="262"/>
      <c r="K24" s="262"/>
    </row>
    <row r="25" spans="1:11" ht="15" customHeight="1">
      <c r="A25" s="283" t="s">
        <v>67</v>
      </c>
      <c r="B25" s="287">
        <v>20</v>
      </c>
      <c r="C25" s="294">
        <v>998.5</v>
      </c>
      <c r="D25" s="287">
        <v>40</v>
      </c>
      <c r="E25" s="288">
        <v>1996.8</v>
      </c>
      <c r="F25" s="287">
        <v>60</v>
      </c>
      <c r="G25" s="288">
        <v>2995.3</v>
      </c>
      <c r="H25" s="284" t="s">
        <v>440</v>
      </c>
      <c r="I25" s="295">
        <v>197.17</v>
      </c>
      <c r="J25" s="262"/>
      <c r="K25" s="262"/>
    </row>
    <row r="26" spans="1:11" ht="15" customHeight="1">
      <c r="A26" s="283" t="s">
        <v>71</v>
      </c>
      <c r="B26" s="287">
        <v>846</v>
      </c>
      <c r="C26" s="294">
        <v>42159.5</v>
      </c>
      <c r="D26" s="287">
        <v>109</v>
      </c>
      <c r="E26" s="288">
        <v>5439.8</v>
      </c>
      <c r="F26" s="287">
        <v>955</v>
      </c>
      <c r="G26" s="288">
        <v>47599.3</v>
      </c>
      <c r="H26" s="284" t="s">
        <v>441</v>
      </c>
      <c r="I26" s="295">
        <v>192.94</v>
      </c>
      <c r="J26" s="262"/>
      <c r="K26" s="262"/>
    </row>
    <row r="27" spans="1:11" ht="15" customHeight="1">
      <c r="A27" s="283" t="s">
        <v>141</v>
      </c>
      <c r="B27" s="287">
        <v>11</v>
      </c>
      <c r="C27" s="294">
        <v>548.5</v>
      </c>
      <c r="D27" s="287">
        <v>32</v>
      </c>
      <c r="E27" s="288">
        <v>1597.4</v>
      </c>
      <c r="F27" s="287">
        <v>43</v>
      </c>
      <c r="G27" s="288">
        <v>2145.9</v>
      </c>
      <c r="H27" s="284" t="s">
        <v>442</v>
      </c>
      <c r="I27" s="295">
        <v>176.18</v>
      </c>
      <c r="J27" s="262"/>
      <c r="K27" s="262"/>
    </row>
    <row r="28" spans="1:11" ht="15" customHeight="1">
      <c r="A28" s="283" t="s">
        <v>73</v>
      </c>
      <c r="B28" s="287">
        <v>31</v>
      </c>
      <c r="C28" s="294">
        <v>1545.5</v>
      </c>
      <c r="D28" s="287">
        <v>0</v>
      </c>
      <c r="E28" s="288">
        <v>0</v>
      </c>
      <c r="F28" s="287">
        <v>31</v>
      </c>
      <c r="G28" s="288">
        <v>1545.5</v>
      </c>
      <c r="H28" s="284" t="s">
        <v>443</v>
      </c>
      <c r="I28" s="295">
        <v>260.68</v>
      </c>
      <c r="J28" s="262"/>
      <c r="K28" s="262"/>
    </row>
    <row r="29" spans="1:11" ht="15" customHeight="1">
      <c r="A29" s="283" t="s">
        <v>77</v>
      </c>
      <c r="B29" s="287">
        <v>20</v>
      </c>
      <c r="C29" s="294">
        <v>997</v>
      </c>
      <c r="D29" s="287">
        <v>10</v>
      </c>
      <c r="E29" s="288">
        <v>499</v>
      </c>
      <c r="F29" s="287">
        <v>30</v>
      </c>
      <c r="G29" s="288">
        <v>1496</v>
      </c>
      <c r="H29" s="284" t="s">
        <v>444</v>
      </c>
      <c r="I29" s="295">
        <v>182.35</v>
      </c>
      <c r="J29" s="262"/>
      <c r="K29" s="262"/>
    </row>
    <row r="30" spans="1:11" ht="15" customHeight="1">
      <c r="A30" s="283" t="s">
        <v>445</v>
      </c>
      <c r="B30" s="287">
        <v>5</v>
      </c>
      <c r="C30" s="294">
        <v>248.5</v>
      </c>
      <c r="D30" s="287">
        <v>0</v>
      </c>
      <c r="E30" s="288">
        <v>0</v>
      </c>
      <c r="F30" s="287">
        <v>5</v>
      </c>
      <c r="G30" s="288">
        <v>248.5</v>
      </c>
      <c r="H30" s="284">
        <v>63367.5</v>
      </c>
      <c r="I30" s="295">
        <v>255</v>
      </c>
      <c r="J30" s="262"/>
      <c r="K30" s="262"/>
    </row>
    <row r="31" spans="1:11" ht="15" customHeight="1">
      <c r="A31" s="283" t="s">
        <v>79</v>
      </c>
      <c r="B31" s="274"/>
      <c r="C31" s="294">
        <v>0</v>
      </c>
      <c r="D31" s="287">
        <v>10</v>
      </c>
      <c r="E31" s="288">
        <v>499.2</v>
      </c>
      <c r="F31" s="287">
        <v>10</v>
      </c>
      <c r="G31" s="288">
        <v>499.2</v>
      </c>
      <c r="H31" s="284" t="s">
        <v>446</v>
      </c>
      <c r="I31" s="295">
        <v>276</v>
      </c>
      <c r="J31" s="262"/>
      <c r="K31" s="262"/>
    </row>
    <row r="32" spans="1:11" ht="15" customHeight="1">
      <c r="A32" s="283" t="s">
        <v>221</v>
      </c>
      <c r="B32" s="287">
        <v>180</v>
      </c>
      <c r="C32" s="294">
        <v>8977.5</v>
      </c>
      <c r="D32" s="287">
        <v>20</v>
      </c>
      <c r="E32" s="288">
        <v>998.4</v>
      </c>
      <c r="F32" s="287">
        <v>200</v>
      </c>
      <c r="G32" s="288">
        <v>9975.9</v>
      </c>
      <c r="H32" s="284" t="s">
        <v>447</v>
      </c>
      <c r="I32" s="295">
        <v>176.05</v>
      </c>
      <c r="J32" s="262"/>
      <c r="K32" s="262"/>
    </row>
    <row r="33" spans="1:11" ht="15" customHeight="1">
      <c r="A33" s="283" t="s">
        <v>81</v>
      </c>
      <c r="B33" s="287">
        <v>10</v>
      </c>
      <c r="C33" s="294">
        <v>498.5</v>
      </c>
      <c r="D33" s="287">
        <v>0</v>
      </c>
      <c r="E33" s="288">
        <v>0</v>
      </c>
      <c r="F33" s="287">
        <v>10</v>
      </c>
      <c r="G33" s="288">
        <v>498.5</v>
      </c>
      <c r="H33" s="284" t="s">
        <v>188</v>
      </c>
      <c r="I33" s="295">
        <v>267</v>
      </c>
      <c r="J33" s="262"/>
      <c r="K33" s="262"/>
    </row>
    <row r="34" spans="1:11" ht="15" customHeight="1">
      <c r="A34" s="283" t="s">
        <v>83</v>
      </c>
      <c r="B34" s="287">
        <v>150</v>
      </c>
      <c r="C34" s="294">
        <v>7479</v>
      </c>
      <c r="D34" s="287">
        <v>45</v>
      </c>
      <c r="E34" s="288">
        <v>2245.4</v>
      </c>
      <c r="F34" s="287">
        <v>195</v>
      </c>
      <c r="G34" s="288">
        <v>9724.4</v>
      </c>
      <c r="H34" s="284" t="s">
        <v>448</v>
      </c>
      <c r="I34" s="295">
        <v>207.49</v>
      </c>
      <c r="J34" s="262"/>
      <c r="K34" s="262"/>
    </row>
    <row r="35" spans="1:11" ht="15" customHeight="1">
      <c r="A35" s="283" t="s">
        <v>87</v>
      </c>
      <c r="B35" s="287">
        <v>10</v>
      </c>
      <c r="C35" s="294">
        <v>498.5</v>
      </c>
      <c r="D35" s="287">
        <v>0</v>
      </c>
      <c r="E35" s="288">
        <v>0</v>
      </c>
      <c r="F35" s="287">
        <v>10</v>
      </c>
      <c r="G35" s="288">
        <v>498.5</v>
      </c>
      <c r="H35" s="284">
        <v>72282.5</v>
      </c>
      <c r="I35" s="295">
        <v>145</v>
      </c>
      <c r="J35" s="262"/>
      <c r="K35" s="262"/>
    </row>
    <row r="36" spans="1:11" ht="15" customHeight="1">
      <c r="A36" s="283" t="s">
        <v>344</v>
      </c>
      <c r="B36" s="287">
        <v>10</v>
      </c>
      <c r="C36" s="294">
        <v>498.5</v>
      </c>
      <c r="D36" s="287">
        <v>0</v>
      </c>
      <c r="E36" s="288">
        <v>0</v>
      </c>
      <c r="F36" s="287">
        <v>10</v>
      </c>
      <c r="G36" s="288">
        <v>498.5</v>
      </c>
      <c r="H36" s="284" t="s">
        <v>449</v>
      </c>
      <c r="I36" s="295">
        <v>282</v>
      </c>
      <c r="J36" s="262"/>
      <c r="K36" s="262"/>
    </row>
    <row r="37" spans="1:11" ht="15" customHeight="1">
      <c r="A37" s="283" t="s">
        <v>150</v>
      </c>
      <c r="B37" s="287">
        <v>25</v>
      </c>
      <c r="C37" s="294">
        <v>1247</v>
      </c>
      <c r="D37" s="287">
        <v>5</v>
      </c>
      <c r="E37" s="288">
        <v>250</v>
      </c>
      <c r="F37" s="287">
        <v>30</v>
      </c>
      <c r="G37" s="288">
        <v>1497</v>
      </c>
      <c r="H37" s="284" t="s">
        <v>450</v>
      </c>
      <c r="I37" s="295">
        <v>172.3</v>
      </c>
      <c r="J37" s="262"/>
      <c r="K37" s="262"/>
    </row>
    <row r="38" spans="1:11" ht="15" customHeight="1">
      <c r="A38" s="283" t="s">
        <v>153</v>
      </c>
      <c r="B38" s="274"/>
      <c r="C38" s="294">
        <v>0</v>
      </c>
      <c r="D38" s="287">
        <v>10</v>
      </c>
      <c r="E38" s="288">
        <v>498.4</v>
      </c>
      <c r="F38" s="287">
        <v>10</v>
      </c>
      <c r="G38" s="288">
        <v>498.4</v>
      </c>
      <c r="H38" s="284">
        <v>84229.6</v>
      </c>
      <c r="I38" s="295">
        <v>169</v>
      </c>
      <c r="J38" s="262"/>
      <c r="K38" s="262"/>
    </row>
    <row r="39" spans="1:11" ht="15" customHeight="1">
      <c r="A39" s="283" t="s">
        <v>92</v>
      </c>
      <c r="B39" s="287">
        <v>10</v>
      </c>
      <c r="C39" s="294">
        <v>498.5</v>
      </c>
      <c r="D39" s="287">
        <v>0</v>
      </c>
      <c r="E39" s="288">
        <v>0</v>
      </c>
      <c r="F39" s="287">
        <v>10</v>
      </c>
      <c r="G39" s="288">
        <v>498.5</v>
      </c>
      <c r="H39" s="284">
        <v>70787</v>
      </c>
      <c r="I39" s="295">
        <v>142</v>
      </c>
      <c r="J39" s="262"/>
      <c r="K39" s="262"/>
    </row>
    <row r="40" spans="1:11" ht="15" customHeight="1">
      <c r="A40" s="283" t="s">
        <v>187</v>
      </c>
      <c r="B40" s="287">
        <v>5</v>
      </c>
      <c r="C40" s="294">
        <v>250</v>
      </c>
      <c r="D40" s="287">
        <v>0</v>
      </c>
      <c r="E40" s="288">
        <v>0</v>
      </c>
      <c r="F40" s="287">
        <v>5</v>
      </c>
      <c r="G40" s="288">
        <v>250</v>
      </c>
      <c r="H40" s="284">
        <v>63750</v>
      </c>
      <c r="I40" s="295">
        <v>255</v>
      </c>
      <c r="J40" s="262"/>
      <c r="K40" s="262"/>
    </row>
    <row r="41" spans="1:11" ht="15" customHeight="1">
      <c r="A41" s="283" t="s">
        <v>157</v>
      </c>
      <c r="B41" s="287">
        <v>10</v>
      </c>
      <c r="C41" s="294">
        <v>498.5</v>
      </c>
      <c r="D41" s="287">
        <v>0</v>
      </c>
      <c r="E41" s="288">
        <v>0</v>
      </c>
      <c r="F41" s="287">
        <v>10</v>
      </c>
      <c r="G41" s="288">
        <v>498.5</v>
      </c>
      <c r="H41" s="284" t="s">
        <v>451</v>
      </c>
      <c r="I41" s="295">
        <v>290</v>
      </c>
      <c r="J41" s="262"/>
      <c r="K41" s="262"/>
    </row>
    <row r="42" spans="1:11" ht="15" customHeight="1">
      <c r="A42" s="283" t="s">
        <v>233</v>
      </c>
      <c r="B42" s="287">
        <v>25</v>
      </c>
      <c r="C42" s="294">
        <v>1248.5</v>
      </c>
      <c r="D42" s="287">
        <v>10</v>
      </c>
      <c r="E42" s="288">
        <v>499</v>
      </c>
      <c r="F42" s="287">
        <v>35</v>
      </c>
      <c r="G42" s="288">
        <v>1747.5</v>
      </c>
      <c r="H42" s="284" t="s">
        <v>452</v>
      </c>
      <c r="I42" s="295">
        <v>204.59</v>
      </c>
      <c r="J42" s="262"/>
      <c r="K42" s="262"/>
    </row>
    <row r="43" spans="1:11" ht="15" customHeight="1">
      <c r="A43" s="283" t="s">
        <v>94</v>
      </c>
      <c r="B43" s="274"/>
      <c r="C43" s="294">
        <v>0</v>
      </c>
      <c r="D43" s="287">
        <v>45</v>
      </c>
      <c r="E43" s="288">
        <v>2246.6</v>
      </c>
      <c r="F43" s="287">
        <v>45</v>
      </c>
      <c r="G43" s="288">
        <v>2246.6</v>
      </c>
      <c r="H43" s="284" t="s">
        <v>453</v>
      </c>
      <c r="I43" s="295">
        <v>212</v>
      </c>
      <c r="J43" s="262"/>
      <c r="K43" s="262"/>
    </row>
    <row r="44" spans="1:11" ht="15" customHeight="1">
      <c r="A44" s="283" t="s">
        <v>190</v>
      </c>
      <c r="B44" s="287">
        <v>10</v>
      </c>
      <c r="C44" s="294">
        <v>498.5</v>
      </c>
      <c r="D44" s="287">
        <v>0</v>
      </c>
      <c r="E44" s="288">
        <v>0</v>
      </c>
      <c r="F44" s="287">
        <v>10</v>
      </c>
      <c r="G44" s="288">
        <v>498.5</v>
      </c>
      <c r="H44" s="284" t="s">
        <v>454</v>
      </c>
      <c r="I44" s="295">
        <v>270</v>
      </c>
      <c r="J44" s="262"/>
      <c r="K44" s="262"/>
    </row>
    <row r="45" spans="1:11" ht="15" customHeight="1">
      <c r="A45" s="283" t="s">
        <v>266</v>
      </c>
      <c r="B45" s="274"/>
      <c r="C45" s="294">
        <v>0</v>
      </c>
      <c r="D45" s="287">
        <v>52</v>
      </c>
      <c r="E45" s="288">
        <v>2594.4</v>
      </c>
      <c r="F45" s="287">
        <v>52</v>
      </c>
      <c r="G45" s="288">
        <v>2594.4</v>
      </c>
      <c r="H45" s="284" t="s">
        <v>455</v>
      </c>
      <c r="I45" s="295">
        <v>183.29</v>
      </c>
      <c r="J45" s="262"/>
      <c r="K45" s="262"/>
    </row>
    <row r="46" spans="1:11" ht="15" customHeight="1">
      <c r="A46" s="283" t="s">
        <v>96</v>
      </c>
      <c r="B46" s="287">
        <v>10</v>
      </c>
      <c r="C46" s="294">
        <v>498.5</v>
      </c>
      <c r="D46" s="287">
        <v>0</v>
      </c>
      <c r="E46" s="288">
        <v>0</v>
      </c>
      <c r="F46" s="287">
        <v>10</v>
      </c>
      <c r="G46" s="288">
        <v>498.5</v>
      </c>
      <c r="H46" s="284" t="s">
        <v>336</v>
      </c>
      <c r="I46" s="295">
        <v>250</v>
      </c>
      <c r="J46" s="262"/>
      <c r="K46" s="262"/>
    </row>
    <row r="47" spans="1:11" ht="15" customHeight="1">
      <c r="A47" s="283" t="s">
        <v>98</v>
      </c>
      <c r="B47" s="287">
        <v>185</v>
      </c>
      <c r="C47" s="294">
        <v>9226.5</v>
      </c>
      <c r="D47" s="287">
        <v>25</v>
      </c>
      <c r="E47" s="288">
        <v>1246.8</v>
      </c>
      <c r="F47" s="287">
        <v>210</v>
      </c>
      <c r="G47" s="288">
        <v>10473.3</v>
      </c>
      <c r="H47" s="284">
        <v>1779477</v>
      </c>
      <c r="I47" s="295">
        <v>169.90604680473206</v>
      </c>
      <c r="J47" s="262"/>
      <c r="K47" s="262"/>
    </row>
    <row r="48" spans="1:11" ht="15" customHeight="1">
      <c r="A48" s="283" t="s">
        <v>99</v>
      </c>
      <c r="B48" s="274"/>
      <c r="C48" s="294">
        <v>0</v>
      </c>
      <c r="D48" s="287">
        <v>56</v>
      </c>
      <c r="E48" s="288">
        <v>2793.4</v>
      </c>
      <c r="F48" s="287">
        <v>56</v>
      </c>
      <c r="G48" s="288">
        <v>2793.4</v>
      </c>
      <c r="H48" s="284" t="s">
        <v>456</v>
      </c>
      <c r="I48" s="295">
        <v>218.87</v>
      </c>
      <c r="J48" s="262"/>
      <c r="K48" s="262"/>
    </row>
    <row r="49" spans="1:11" ht="15" customHeight="1">
      <c r="A49" s="283" t="s">
        <v>194</v>
      </c>
      <c r="B49" s="306">
        <v>10</v>
      </c>
      <c r="C49" s="307">
        <v>498.5</v>
      </c>
      <c r="D49" s="306">
        <v>0</v>
      </c>
      <c r="E49" s="308">
        <v>0</v>
      </c>
      <c r="F49" s="306">
        <v>10</v>
      </c>
      <c r="G49" s="308">
        <v>498.5</v>
      </c>
      <c r="H49" s="282" t="s">
        <v>457</v>
      </c>
      <c r="I49" s="309">
        <v>286</v>
      </c>
      <c r="J49" s="262"/>
      <c r="K49" s="262"/>
    </row>
    <row r="50" spans="1:11" s="296" customFormat="1" ht="15" customHeight="1">
      <c r="A50" s="283" t="s">
        <v>14</v>
      </c>
      <c r="B50" s="304">
        <v>2170</v>
      </c>
      <c r="C50" s="303">
        <v>108187.5</v>
      </c>
      <c r="D50" s="304">
        <f>SUM(D15:D49)</f>
        <v>550</v>
      </c>
      <c r="E50" s="303">
        <f>SUM(E15:E49)</f>
        <v>27447.300000000003</v>
      </c>
      <c r="F50" s="305">
        <f>B50+D50</f>
        <v>2720</v>
      </c>
      <c r="G50" s="303">
        <f>C50+E50</f>
        <v>135634.8</v>
      </c>
      <c r="H50" s="301">
        <v>26268453.8</v>
      </c>
      <c r="I50" s="302">
        <f>H50/G50</f>
        <v>193.67045772913738</v>
      </c>
      <c r="J50" s="262"/>
      <c r="K50" s="262"/>
    </row>
    <row r="51" spans="1:11" ht="15" customHeight="1">
      <c r="A51" s="283" t="s">
        <v>14</v>
      </c>
      <c r="B51" s="304">
        <v>2170</v>
      </c>
      <c r="C51" s="303" t="s">
        <v>458</v>
      </c>
      <c r="D51" s="304">
        <v>555</v>
      </c>
      <c r="E51" s="303">
        <v>27696.8</v>
      </c>
      <c r="F51" s="310">
        <v>2725</v>
      </c>
      <c r="G51" s="303" t="s">
        <v>459</v>
      </c>
      <c r="H51" s="301" t="s">
        <v>460</v>
      </c>
      <c r="I51" s="302">
        <v>193.7</v>
      </c>
      <c r="J51" s="262"/>
      <c r="K51" s="262"/>
    </row>
    <row r="52" spans="1:11" ht="15" customHeight="1">
      <c r="A52" s="283"/>
      <c r="B52" s="286"/>
      <c r="C52" s="294"/>
      <c r="D52" s="287"/>
      <c r="E52" s="288"/>
      <c r="F52" s="286"/>
      <c r="G52" s="288"/>
      <c r="H52" s="284"/>
      <c r="I52" s="295"/>
      <c r="J52" s="262"/>
      <c r="K52" s="262"/>
    </row>
    <row r="53" spans="1:11" ht="15" customHeight="1">
      <c r="A53" s="263" t="s">
        <v>117</v>
      </c>
      <c r="B53" s="289"/>
      <c r="C53" s="276"/>
      <c r="D53" s="289"/>
      <c r="E53" s="290"/>
      <c r="F53" s="289"/>
      <c r="G53" s="276"/>
      <c r="H53" s="278"/>
      <c r="I53" s="278"/>
      <c r="J53" s="262"/>
      <c r="K53" s="262"/>
    </row>
    <row r="54" spans="1:11" ht="15" customHeight="1">
      <c r="A54" s="263" t="s">
        <v>118</v>
      </c>
      <c r="B54" s="289"/>
      <c r="C54" s="276"/>
      <c r="D54" s="289"/>
      <c r="E54" s="290"/>
      <c r="F54" s="291"/>
      <c r="G54" s="292" t="s">
        <v>119</v>
      </c>
      <c r="H54" s="278"/>
      <c r="I54" s="278"/>
      <c r="J54" s="262"/>
      <c r="K54" s="262"/>
    </row>
    <row r="55" spans="1:11" ht="15" customHeight="1">
      <c r="A55" s="263" t="s">
        <v>120</v>
      </c>
      <c r="B55" s="289"/>
      <c r="C55" s="276"/>
      <c r="D55" s="289"/>
      <c r="E55" s="1"/>
      <c r="F55" s="290"/>
      <c r="G55" s="293" t="s">
        <v>121</v>
      </c>
      <c r="H55" s="278"/>
      <c r="I55" s="278"/>
      <c r="J55" s="262"/>
      <c r="K55" s="262"/>
    </row>
    <row r="56" spans="1:11" ht="15" customHeight="1">
      <c r="A56" s="263" t="s">
        <v>122</v>
      </c>
      <c r="B56" s="289"/>
      <c r="C56" s="276"/>
      <c r="D56" s="289"/>
      <c r="E56" s="290"/>
      <c r="F56" s="289"/>
      <c r="G56" s="276"/>
      <c r="H56" s="278"/>
      <c r="I56" s="278"/>
      <c r="J56" s="262"/>
      <c r="K56" s="262"/>
    </row>
    <row r="57" spans="1:11" ht="15" customHeight="1">
      <c r="A57" s="263" t="s">
        <v>123</v>
      </c>
      <c r="B57" s="289"/>
      <c r="C57" s="276"/>
      <c r="D57" s="289"/>
      <c r="E57" s="290"/>
      <c r="F57" s="289"/>
      <c r="G57" s="276"/>
      <c r="H57" s="278"/>
      <c r="I57" s="278"/>
      <c r="J57" s="262"/>
      <c r="K57" s="262"/>
    </row>
    <row r="58" spans="1:10" ht="15" customHeight="1">
      <c r="A58" s="1"/>
      <c r="J58" s="1"/>
    </row>
    <row r="59" spans="1:10" ht="15" customHeight="1">
      <c r="A59" s="1"/>
      <c r="J59" s="1"/>
    </row>
    <row r="60" spans="1:10" ht="15" customHeight="1">
      <c r="A60" s="1"/>
      <c r="J60" s="1"/>
    </row>
    <row r="61" spans="1:10" ht="15" customHeight="1">
      <c r="A61" s="1"/>
      <c r="J61" s="1"/>
    </row>
    <row r="62" spans="1:10" ht="15" customHeight="1">
      <c r="A62" s="1"/>
      <c r="J62" s="1"/>
    </row>
    <row r="63" spans="1:10" ht="15" customHeight="1">
      <c r="A63" s="1"/>
      <c r="J63" s="1"/>
    </row>
    <row r="64" spans="1:10" ht="15" customHeight="1">
      <c r="A64" s="1"/>
      <c r="J64" s="1"/>
    </row>
    <row r="65" ht="15" customHeight="1">
      <c r="A65" s="1"/>
    </row>
    <row r="66" ht="15" customHeight="1">
      <c r="A66" s="1"/>
    </row>
    <row r="67" spans="1:9" ht="15" customHeight="1">
      <c r="A67" s="41"/>
      <c r="B67" s="42"/>
      <c r="C67" s="44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4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4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4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4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4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4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4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4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4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4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4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4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4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4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4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4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4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4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4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4"/>
      <c r="D89" s="42"/>
      <c r="E89" s="44"/>
      <c r="F89" s="42"/>
      <c r="G89" s="44"/>
      <c r="H89" s="47"/>
      <c r="I89" s="47"/>
    </row>
    <row r="90" spans="1:9" ht="15" customHeight="1">
      <c r="A90" s="41"/>
      <c r="B90" s="42"/>
      <c r="C90" s="44"/>
      <c r="D90" s="42"/>
      <c r="E90" s="44"/>
      <c r="F90" s="42"/>
      <c r="G90" s="44"/>
      <c r="H90" s="47"/>
      <c r="I90" s="47"/>
    </row>
    <row r="91" spans="1:9" ht="15" customHeight="1">
      <c r="A91" s="41"/>
      <c r="B91" s="42"/>
      <c r="C91" s="44"/>
      <c r="D91" s="42"/>
      <c r="E91" s="44"/>
      <c r="F91" s="42"/>
      <c r="G91" s="44"/>
      <c r="H91" s="47"/>
      <c r="I91" s="47"/>
    </row>
    <row r="92" spans="1:9" ht="15" customHeight="1">
      <c r="A92" s="41"/>
      <c r="B92" s="42"/>
      <c r="C92" s="44"/>
      <c r="D92" s="42"/>
      <c r="E92" s="44"/>
      <c r="F92" s="42"/>
      <c r="G92" s="44"/>
      <c r="H92" s="47"/>
      <c r="I92" s="47"/>
    </row>
    <row r="93" spans="1:9" ht="15" customHeight="1">
      <c r="A93" s="41"/>
      <c r="B93" s="42"/>
      <c r="C93" s="44"/>
      <c r="D93" s="42"/>
      <c r="E93" s="44"/>
      <c r="F93" s="42"/>
      <c r="G93" s="44"/>
      <c r="H93" s="47"/>
      <c r="I93" s="47"/>
    </row>
    <row r="94" spans="1:9" ht="15" customHeight="1">
      <c r="A94" s="41"/>
      <c r="B94" s="42"/>
      <c r="C94" s="44"/>
      <c r="D94" s="42"/>
      <c r="E94" s="44"/>
      <c r="F94" s="42"/>
      <c r="G94" s="44"/>
      <c r="H94" s="47"/>
      <c r="I94" s="47"/>
    </row>
    <row r="95" spans="1:9" ht="15" customHeight="1">
      <c r="A95" s="41"/>
      <c r="B95" s="42"/>
      <c r="C95" s="44"/>
      <c r="D95" s="42"/>
      <c r="E95" s="44"/>
      <c r="F95" s="42"/>
      <c r="G95" s="44"/>
      <c r="H95" s="47"/>
      <c r="I95" s="47"/>
    </row>
    <row r="96" spans="1:9" ht="15" customHeight="1">
      <c r="A96" s="41"/>
      <c r="B96" s="42"/>
      <c r="C96" s="44"/>
      <c r="D96" s="42"/>
      <c r="E96" s="44"/>
      <c r="F96" s="42"/>
      <c r="G96" s="44"/>
      <c r="H96" s="47"/>
      <c r="I96" s="47"/>
    </row>
    <row r="97" spans="1:9" ht="15" customHeight="1">
      <c r="A97" s="41"/>
      <c r="B97" s="42"/>
      <c r="C97" s="44"/>
      <c r="D97" s="42"/>
      <c r="E97" s="44"/>
      <c r="F97" s="42"/>
      <c r="G97" s="44"/>
      <c r="H97" s="47"/>
      <c r="I97" s="47"/>
    </row>
    <row r="98" spans="1:9" ht="15" customHeight="1">
      <c r="A98" s="41"/>
      <c r="B98" s="42"/>
      <c r="C98" s="44"/>
      <c r="D98" s="42"/>
      <c r="E98" s="44"/>
      <c r="F98" s="42"/>
      <c r="G98" s="44"/>
      <c r="H98" s="47"/>
      <c r="I98" s="47"/>
    </row>
    <row r="99" spans="1:9" ht="15" customHeight="1">
      <c r="A99" s="41"/>
      <c r="B99" s="42"/>
      <c r="C99" s="44"/>
      <c r="D99" s="42"/>
      <c r="E99" s="44"/>
      <c r="F99" s="42"/>
      <c r="G99" s="44"/>
      <c r="H99" s="47"/>
      <c r="I99" s="47"/>
    </row>
    <row r="100" spans="1:9" ht="15" customHeight="1">
      <c r="A100" s="41"/>
      <c r="B100" s="42"/>
      <c r="C100" s="44"/>
      <c r="D100" s="42"/>
      <c r="E100" s="44"/>
      <c r="F100" s="42"/>
      <c r="G100" s="44"/>
      <c r="H100" s="47"/>
      <c r="I100" s="47"/>
    </row>
    <row r="101" spans="1:9" ht="15" customHeight="1">
      <c r="A101" s="41"/>
      <c r="B101" s="42"/>
      <c r="C101" s="44"/>
      <c r="D101" s="42"/>
      <c r="E101" s="44"/>
      <c r="F101" s="42"/>
      <c r="G101" s="44"/>
      <c r="H101" s="47"/>
      <c r="I101" s="47"/>
    </row>
    <row r="102" spans="1:9" ht="15" customHeight="1">
      <c r="A102" s="41"/>
      <c r="B102" s="42"/>
      <c r="C102" s="44"/>
      <c r="D102" s="42"/>
      <c r="E102" s="44"/>
      <c r="F102" s="42"/>
      <c r="G102" s="44"/>
      <c r="H102" s="47"/>
      <c r="I102" s="47"/>
    </row>
    <row r="103" spans="1:9" ht="15" customHeight="1">
      <c r="A103" s="41"/>
      <c r="B103" s="42"/>
      <c r="C103" s="44"/>
      <c r="D103" s="42"/>
      <c r="E103" s="44"/>
      <c r="F103" s="42"/>
      <c r="G103" s="44"/>
      <c r="H103" s="47"/>
      <c r="I103" s="47"/>
    </row>
    <row r="104" spans="1:9" ht="15" customHeight="1">
      <c r="A104" s="41"/>
      <c r="B104" s="42"/>
      <c r="C104" s="44"/>
      <c r="D104" s="42"/>
      <c r="E104" s="44"/>
      <c r="F104" s="42"/>
      <c r="G104" s="44"/>
      <c r="H104" s="47"/>
      <c r="I104" s="47"/>
    </row>
    <row r="105" spans="1:9" ht="15" customHeight="1">
      <c r="A105" s="41"/>
      <c r="B105" s="42"/>
      <c r="C105" s="44"/>
      <c r="D105" s="42"/>
      <c r="E105" s="44"/>
      <c r="F105" s="42"/>
      <c r="G105" s="44"/>
      <c r="H105" s="47"/>
      <c r="I105" s="47"/>
    </row>
    <row r="106" spans="1:9" ht="15" customHeight="1">
      <c r="A106" s="41"/>
      <c r="B106" s="42"/>
      <c r="C106" s="44"/>
      <c r="D106" s="42"/>
      <c r="E106" s="44"/>
      <c r="F106" s="42"/>
      <c r="G106" s="44"/>
      <c r="H106" s="47"/>
      <c r="I106" s="47"/>
    </row>
  </sheetData>
  <sheetProtection/>
  <printOptions/>
  <pageMargins left="0.7" right="0.7" top="0.58" bottom="0.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1">
      <selection activeCell="A3" sqref="A3"/>
    </sheetView>
  </sheetViews>
  <sheetFormatPr defaultColWidth="9.140625" defaultRowHeight="15" customHeight="1"/>
  <cols>
    <col min="1" max="1" width="30.140625" style="177" customWidth="1"/>
    <col min="2" max="2" width="7.140625" style="31" customWidth="1"/>
    <col min="3" max="3" width="9.7109375" style="244" customWidth="1"/>
    <col min="4" max="4" width="7.7109375" style="31" customWidth="1"/>
    <col min="5" max="5" width="10.28125" style="244" bestFit="1" customWidth="1"/>
    <col min="6" max="6" width="7.57421875" style="31" customWidth="1"/>
    <col min="7" max="7" width="10.421875" style="244" bestFit="1" customWidth="1"/>
    <col min="8" max="8" width="13.140625" style="48" bestFit="1" customWidth="1"/>
    <col min="9" max="9" width="8.8515625" style="48" customWidth="1"/>
    <col min="10" max="16384" width="8.8515625" style="177" customWidth="1"/>
  </cols>
  <sheetData>
    <row r="1" spans="1:11" ht="15" customHeight="1">
      <c r="A1" s="263" t="s">
        <v>399</v>
      </c>
      <c r="B1" s="264"/>
      <c r="C1" s="265"/>
      <c r="D1" s="264"/>
      <c r="E1" s="266"/>
      <c r="F1" s="264"/>
      <c r="G1" s="265"/>
      <c r="H1" s="267"/>
      <c r="I1" s="267"/>
      <c r="J1" s="262"/>
      <c r="K1" s="262"/>
    </row>
    <row r="2" spans="1:11" ht="15" customHeight="1">
      <c r="A2" s="263" t="s">
        <v>425</v>
      </c>
      <c r="B2" s="264"/>
      <c r="C2" s="265"/>
      <c r="D2" s="264"/>
      <c r="E2" s="266"/>
      <c r="F2" s="264"/>
      <c r="G2" s="265"/>
      <c r="H2" s="267"/>
      <c r="I2" s="267"/>
      <c r="J2" s="262"/>
      <c r="K2" s="262"/>
    </row>
    <row r="3" spans="1:11" ht="15" customHeight="1">
      <c r="A3" s="263" t="s">
        <v>110</v>
      </c>
      <c r="B3" s="264"/>
      <c r="C3" s="265"/>
      <c r="D3" s="264"/>
      <c r="E3" s="266"/>
      <c r="F3" s="264"/>
      <c r="G3" s="265"/>
      <c r="H3" s="267"/>
      <c r="I3" s="267"/>
      <c r="J3" s="262"/>
      <c r="K3" s="262"/>
    </row>
    <row r="4" spans="1:11" ht="15" customHeight="1">
      <c r="A4" s="263" t="s">
        <v>5</v>
      </c>
      <c r="B4" s="264"/>
      <c r="C4" s="265"/>
      <c r="D4" s="264"/>
      <c r="E4" s="266"/>
      <c r="F4" s="264"/>
      <c r="G4" s="265"/>
      <c r="H4" s="267"/>
      <c r="I4" s="267"/>
      <c r="J4" s="262"/>
      <c r="K4" s="262"/>
    </row>
    <row r="5" spans="1:11" ht="15" customHeight="1">
      <c r="A5" s="263" t="s">
        <v>6</v>
      </c>
      <c r="B5" s="264"/>
      <c r="C5" s="265"/>
      <c r="D5" s="264"/>
      <c r="E5" s="268"/>
      <c r="F5" s="264"/>
      <c r="G5" s="265"/>
      <c r="H5" s="267"/>
      <c r="I5" s="267"/>
      <c r="J5" s="262"/>
      <c r="K5" s="262"/>
    </row>
    <row r="6" spans="1:11" ht="15" customHeight="1">
      <c r="A6" s="263" t="s">
        <v>111</v>
      </c>
      <c r="B6" s="264"/>
      <c r="C6" s="265"/>
      <c r="D6" s="264"/>
      <c r="E6" s="266"/>
      <c r="F6" s="264"/>
      <c r="G6" s="265"/>
      <c r="H6" s="267"/>
      <c r="I6" s="267"/>
      <c r="J6" s="262"/>
      <c r="K6" s="262"/>
    </row>
    <row r="7" spans="1:11" ht="15" customHeight="1">
      <c r="A7" s="263" t="s">
        <v>112</v>
      </c>
      <c r="B7" s="264"/>
      <c r="C7" s="265"/>
      <c r="D7" s="264"/>
      <c r="E7" s="269" t="s">
        <v>113</v>
      </c>
      <c r="F7" s="264"/>
      <c r="G7" s="265"/>
      <c r="H7" s="267"/>
      <c r="I7" s="267"/>
      <c r="J7" s="262"/>
      <c r="K7" s="262"/>
    </row>
    <row r="8" spans="1:11" ht="15" customHeight="1">
      <c r="A8" s="263" t="s">
        <v>400</v>
      </c>
      <c r="B8" s="270"/>
      <c r="C8" s="271"/>
      <c r="D8" s="270"/>
      <c r="E8" s="272"/>
      <c r="F8" s="270"/>
      <c r="G8" s="271"/>
      <c r="H8" s="273"/>
      <c r="I8" s="273"/>
      <c r="J8" s="262"/>
      <c r="K8" s="262"/>
    </row>
    <row r="9" spans="1:11" ht="15" customHeight="1">
      <c r="A9" s="274"/>
      <c r="B9" s="275" t="s">
        <v>45</v>
      </c>
      <c r="C9" s="276"/>
      <c r="D9" s="275" t="s">
        <v>46</v>
      </c>
      <c r="E9" s="276"/>
      <c r="F9" s="275"/>
      <c r="G9" s="277" t="s">
        <v>47</v>
      </c>
      <c r="H9" s="278"/>
      <c r="I9" s="278"/>
      <c r="J9" s="262"/>
      <c r="K9" s="262"/>
    </row>
    <row r="10" spans="1:11" ht="15" customHeight="1">
      <c r="A10" s="279" t="s">
        <v>48</v>
      </c>
      <c r="B10" s="280" t="s">
        <v>49</v>
      </c>
      <c r="C10" s="281" t="s">
        <v>50</v>
      </c>
      <c r="D10" s="280" t="s">
        <v>49</v>
      </c>
      <c r="E10" s="281" t="s">
        <v>50</v>
      </c>
      <c r="F10" s="280" t="s">
        <v>49</v>
      </c>
      <c r="G10" s="281" t="s">
        <v>50</v>
      </c>
      <c r="H10" s="282" t="s">
        <v>51</v>
      </c>
      <c r="I10" s="282" t="s">
        <v>52</v>
      </c>
      <c r="J10" s="262"/>
      <c r="K10" s="262"/>
    </row>
    <row r="11" spans="1:11" ht="15" customHeight="1">
      <c r="A11" s="283" t="s">
        <v>53</v>
      </c>
      <c r="B11" s="287">
        <v>391</v>
      </c>
      <c r="C11" s="294">
        <v>19493</v>
      </c>
      <c r="D11" s="287">
        <v>0</v>
      </c>
      <c r="E11" s="288">
        <v>0</v>
      </c>
      <c r="F11" s="287">
        <v>391</v>
      </c>
      <c r="G11" s="288">
        <v>19493</v>
      </c>
      <c r="H11" s="284" t="s">
        <v>401</v>
      </c>
      <c r="I11" s="295">
        <v>190.46</v>
      </c>
      <c r="J11" s="262"/>
      <c r="K11" s="262"/>
    </row>
    <row r="12" spans="1:11" ht="15" customHeight="1">
      <c r="A12" s="283" t="s">
        <v>55</v>
      </c>
      <c r="B12" s="287">
        <v>20</v>
      </c>
      <c r="C12" s="294">
        <v>997</v>
      </c>
      <c r="D12" s="287">
        <v>0</v>
      </c>
      <c r="E12" s="288">
        <v>0</v>
      </c>
      <c r="F12" s="287">
        <v>20</v>
      </c>
      <c r="G12" s="288">
        <v>997</v>
      </c>
      <c r="H12" s="284" t="s">
        <v>402</v>
      </c>
      <c r="I12" s="295">
        <v>239</v>
      </c>
      <c r="J12" s="262"/>
      <c r="K12" s="262"/>
    </row>
    <row r="13" spans="1:11" ht="15" customHeight="1">
      <c r="A13" s="283" t="s">
        <v>128</v>
      </c>
      <c r="B13" s="287">
        <v>6</v>
      </c>
      <c r="C13" s="294">
        <v>300</v>
      </c>
      <c r="D13" s="287">
        <v>15</v>
      </c>
      <c r="E13" s="288">
        <v>748.4</v>
      </c>
      <c r="F13" s="287">
        <v>21</v>
      </c>
      <c r="G13" s="288">
        <v>1048.4</v>
      </c>
      <c r="H13" s="284" t="s">
        <v>403</v>
      </c>
      <c r="I13" s="295">
        <v>201.63</v>
      </c>
      <c r="J13" s="262"/>
      <c r="K13" s="262"/>
    </row>
    <row r="14" spans="1:11" ht="15" customHeight="1">
      <c r="A14" s="283" t="s">
        <v>171</v>
      </c>
      <c r="B14" s="287">
        <v>20</v>
      </c>
      <c r="C14" s="294">
        <v>997</v>
      </c>
      <c r="D14" s="287">
        <v>0</v>
      </c>
      <c r="E14" s="288">
        <v>0</v>
      </c>
      <c r="F14" s="287">
        <v>20</v>
      </c>
      <c r="G14" s="288">
        <v>997</v>
      </c>
      <c r="H14" s="284" t="s">
        <v>404</v>
      </c>
      <c r="I14" s="295">
        <v>253.5</v>
      </c>
      <c r="J14" s="262"/>
      <c r="K14" s="262"/>
    </row>
    <row r="15" spans="1:11" ht="15" customHeight="1">
      <c r="A15" s="283" t="s">
        <v>57</v>
      </c>
      <c r="B15" s="287">
        <v>20</v>
      </c>
      <c r="C15" s="294">
        <v>997</v>
      </c>
      <c r="D15" s="287">
        <v>0</v>
      </c>
      <c r="E15" s="288">
        <v>0</v>
      </c>
      <c r="F15" s="287">
        <v>20</v>
      </c>
      <c r="G15" s="288">
        <v>997</v>
      </c>
      <c r="H15" s="284" t="s">
        <v>405</v>
      </c>
      <c r="I15" s="295">
        <v>159</v>
      </c>
      <c r="J15" s="262"/>
      <c r="K15" s="262"/>
    </row>
    <row r="16" spans="1:11" ht="15" customHeight="1">
      <c r="A16" s="283" t="s">
        <v>59</v>
      </c>
      <c r="B16" s="287">
        <v>60</v>
      </c>
      <c r="C16" s="294">
        <v>2991</v>
      </c>
      <c r="D16" s="287">
        <v>0</v>
      </c>
      <c r="E16" s="288">
        <v>0</v>
      </c>
      <c r="F16" s="287">
        <v>60</v>
      </c>
      <c r="G16" s="288">
        <v>2991</v>
      </c>
      <c r="H16" s="284" t="s">
        <v>406</v>
      </c>
      <c r="I16" s="295">
        <v>247.17</v>
      </c>
      <c r="J16" s="262"/>
      <c r="K16" s="262"/>
    </row>
    <row r="17" spans="1:11" ht="15" customHeight="1">
      <c r="A17" s="283" t="s">
        <v>63</v>
      </c>
      <c r="B17" s="287">
        <v>20</v>
      </c>
      <c r="C17" s="294">
        <v>998.5</v>
      </c>
      <c r="D17" s="287">
        <v>0</v>
      </c>
      <c r="E17" s="288">
        <v>0</v>
      </c>
      <c r="F17" s="287">
        <v>20</v>
      </c>
      <c r="G17" s="288">
        <v>998.5</v>
      </c>
      <c r="H17" s="284" t="s">
        <v>407</v>
      </c>
      <c r="I17" s="295">
        <v>154.98</v>
      </c>
      <c r="J17" s="262"/>
      <c r="K17" s="262"/>
    </row>
    <row r="18" spans="1:11" ht="15" customHeight="1">
      <c r="A18" s="283" t="s">
        <v>329</v>
      </c>
      <c r="B18" s="287">
        <v>10</v>
      </c>
      <c r="C18" s="294">
        <v>498.5</v>
      </c>
      <c r="D18" s="287">
        <v>0</v>
      </c>
      <c r="E18" s="288">
        <v>0</v>
      </c>
      <c r="F18" s="287">
        <v>10</v>
      </c>
      <c r="G18" s="288">
        <v>498.5</v>
      </c>
      <c r="H18" s="284" t="s">
        <v>336</v>
      </c>
      <c r="I18" s="295">
        <v>250</v>
      </c>
      <c r="J18" s="262"/>
      <c r="K18" s="262"/>
    </row>
    <row r="19" spans="1:11" ht="15" customHeight="1">
      <c r="A19" s="283" t="s">
        <v>136</v>
      </c>
      <c r="B19" s="287">
        <v>29</v>
      </c>
      <c r="C19" s="294">
        <v>1446.5</v>
      </c>
      <c r="D19" s="287">
        <v>0</v>
      </c>
      <c r="E19" s="288">
        <v>0</v>
      </c>
      <c r="F19" s="287">
        <v>29</v>
      </c>
      <c r="G19" s="288">
        <v>1446.5</v>
      </c>
      <c r="H19" s="284" t="s">
        <v>408</v>
      </c>
      <c r="I19" s="295">
        <v>231.62</v>
      </c>
      <c r="J19" s="262"/>
      <c r="K19" s="262"/>
    </row>
    <row r="20" spans="1:11" ht="15" customHeight="1">
      <c r="A20" s="283" t="s">
        <v>67</v>
      </c>
      <c r="B20" s="287">
        <v>120</v>
      </c>
      <c r="C20" s="294">
        <v>5982</v>
      </c>
      <c r="D20" s="287">
        <v>80</v>
      </c>
      <c r="E20" s="288">
        <v>3994.2</v>
      </c>
      <c r="F20" s="287">
        <v>200</v>
      </c>
      <c r="G20" s="288">
        <v>9976.2</v>
      </c>
      <c r="H20" s="284" t="s">
        <v>409</v>
      </c>
      <c r="I20" s="295">
        <v>197.5</v>
      </c>
      <c r="J20" s="262"/>
      <c r="K20" s="262"/>
    </row>
    <row r="21" spans="1:11" ht="15" customHeight="1">
      <c r="A21" s="283" t="s">
        <v>71</v>
      </c>
      <c r="B21" s="287">
        <v>543</v>
      </c>
      <c r="C21" s="294">
        <v>27075</v>
      </c>
      <c r="D21" s="287">
        <v>105</v>
      </c>
      <c r="E21" s="288">
        <v>5242</v>
      </c>
      <c r="F21" s="287">
        <v>648</v>
      </c>
      <c r="G21" s="288">
        <v>32317</v>
      </c>
      <c r="H21" s="284" t="s">
        <v>410</v>
      </c>
      <c r="I21" s="295">
        <v>200.9</v>
      </c>
      <c r="J21" s="262"/>
      <c r="K21" s="262"/>
    </row>
    <row r="22" spans="1:11" ht="15" customHeight="1">
      <c r="A22" s="283" t="s">
        <v>141</v>
      </c>
      <c r="B22" s="287">
        <v>20</v>
      </c>
      <c r="C22" s="294">
        <v>997</v>
      </c>
      <c r="D22" s="287">
        <v>0</v>
      </c>
      <c r="E22" s="288">
        <v>0</v>
      </c>
      <c r="F22" s="287">
        <v>20</v>
      </c>
      <c r="G22" s="288">
        <v>997</v>
      </c>
      <c r="H22" s="284" t="s">
        <v>411</v>
      </c>
      <c r="I22" s="295">
        <v>135.5</v>
      </c>
      <c r="J22" s="262"/>
      <c r="K22" s="262"/>
    </row>
    <row r="23" spans="1:11" ht="15" customHeight="1">
      <c r="A23" s="283" t="s">
        <v>73</v>
      </c>
      <c r="B23" s="287">
        <v>10</v>
      </c>
      <c r="C23" s="294">
        <v>498.5</v>
      </c>
      <c r="D23" s="287">
        <v>0</v>
      </c>
      <c r="E23" s="288">
        <v>0</v>
      </c>
      <c r="F23" s="287">
        <v>10</v>
      </c>
      <c r="G23" s="288">
        <v>498.5</v>
      </c>
      <c r="H23" s="284" t="s">
        <v>353</v>
      </c>
      <c r="I23" s="295">
        <v>259</v>
      </c>
      <c r="J23" s="262"/>
      <c r="K23" s="262"/>
    </row>
    <row r="24" spans="1:11" ht="15" customHeight="1">
      <c r="A24" s="283" t="s">
        <v>75</v>
      </c>
      <c r="B24" s="287">
        <v>5</v>
      </c>
      <c r="C24" s="294">
        <v>248.5</v>
      </c>
      <c r="D24" s="287">
        <v>0</v>
      </c>
      <c r="E24" s="288">
        <v>0</v>
      </c>
      <c r="F24" s="287">
        <v>5</v>
      </c>
      <c r="G24" s="288">
        <v>248.5</v>
      </c>
      <c r="H24" s="284">
        <v>59391.5</v>
      </c>
      <c r="I24" s="295">
        <v>239</v>
      </c>
      <c r="J24" s="262"/>
      <c r="K24" s="262"/>
    </row>
    <row r="25" spans="1:11" ht="15" customHeight="1">
      <c r="A25" s="283" t="s">
        <v>77</v>
      </c>
      <c r="B25" s="287">
        <v>11</v>
      </c>
      <c r="C25" s="294">
        <v>548.5</v>
      </c>
      <c r="D25" s="287">
        <v>53</v>
      </c>
      <c r="E25" s="288">
        <v>2645.9</v>
      </c>
      <c r="F25" s="287">
        <v>64</v>
      </c>
      <c r="G25" s="288">
        <v>3194.4</v>
      </c>
      <c r="H25" s="284" t="s">
        <v>412</v>
      </c>
      <c r="I25" s="295">
        <v>194.48</v>
      </c>
      <c r="J25" s="262"/>
      <c r="K25" s="262"/>
    </row>
    <row r="26" spans="1:11" ht="15" customHeight="1">
      <c r="A26" s="283" t="s">
        <v>79</v>
      </c>
      <c r="B26" s="274"/>
      <c r="C26" s="294">
        <v>0</v>
      </c>
      <c r="D26" s="287">
        <v>7</v>
      </c>
      <c r="E26" s="288">
        <v>349</v>
      </c>
      <c r="F26" s="287">
        <v>7</v>
      </c>
      <c r="G26" s="288">
        <v>349</v>
      </c>
      <c r="H26" s="284">
        <v>88279</v>
      </c>
      <c r="I26" s="295">
        <v>252.95</v>
      </c>
      <c r="J26" s="262"/>
      <c r="K26" s="262"/>
    </row>
    <row r="27" spans="1:11" ht="15" customHeight="1">
      <c r="A27" s="283" t="s">
        <v>221</v>
      </c>
      <c r="B27" s="287">
        <v>40</v>
      </c>
      <c r="C27" s="294">
        <v>1994</v>
      </c>
      <c r="D27" s="287">
        <v>10</v>
      </c>
      <c r="E27" s="288">
        <v>499.2</v>
      </c>
      <c r="F27" s="287">
        <v>50</v>
      </c>
      <c r="G27" s="288">
        <v>2493.2</v>
      </c>
      <c r="H27" s="284" t="s">
        <v>413</v>
      </c>
      <c r="I27" s="295">
        <v>169.41</v>
      </c>
      <c r="J27" s="262"/>
      <c r="K27" s="262"/>
    </row>
    <row r="28" spans="1:11" ht="15" customHeight="1">
      <c r="A28" s="283" t="s">
        <v>146</v>
      </c>
      <c r="B28" s="287">
        <v>10</v>
      </c>
      <c r="C28" s="294">
        <v>498.5</v>
      </c>
      <c r="D28" s="287">
        <v>0</v>
      </c>
      <c r="E28" s="288">
        <v>0</v>
      </c>
      <c r="F28" s="287">
        <v>10</v>
      </c>
      <c r="G28" s="288">
        <v>498.5</v>
      </c>
      <c r="H28" s="284">
        <v>69790</v>
      </c>
      <c r="I28" s="295">
        <v>140</v>
      </c>
      <c r="J28" s="262"/>
      <c r="K28" s="262"/>
    </row>
    <row r="29" spans="1:11" ht="15" customHeight="1">
      <c r="A29" s="283" t="s">
        <v>81</v>
      </c>
      <c r="B29" s="287">
        <v>30</v>
      </c>
      <c r="C29" s="294">
        <v>1497</v>
      </c>
      <c r="D29" s="287">
        <v>0</v>
      </c>
      <c r="E29" s="288">
        <v>0</v>
      </c>
      <c r="F29" s="287">
        <v>30</v>
      </c>
      <c r="G29" s="288">
        <v>1497</v>
      </c>
      <c r="H29" s="284" t="s">
        <v>414</v>
      </c>
      <c r="I29" s="295">
        <v>178.66</v>
      </c>
      <c r="J29" s="262"/>
      <c r="K29" s="262"/>
    </row>
    <row r="30" spans="1:11" ht="15" customHeight="1">
      <c r="A30" s="283" t="s">
        <v>83</v>
      </c>
      <c r="B30" s="287">
        <v>70</v>
      </c>
      <c r="C30" s="294">
        <v>3492.5</v>
      </c>
      <c r="D30" s="287">
        <v>13</v>
      </c>
      <c r="E30" s="288">
        <v>648.7</v>
      </c>
      <c r="F30" s="287">
        <v>83</v>
      </c>
      <c r="G30" s="288">
        <v>4141.2</v>
      </c>
      <c r="H30" s="284" t="s">
        <v>415</v>
      </c>
      <c r="I30" s="295">
        <v>236.13</v>
      </c>
      <c r="J30" s="262"/>
      <c r="K30" s="262"/>
    </row>
    <row r="31" spans="1:11" ht="15" customHeight="1">
      <c r="A31" s="283" t="s">
        <v>87</v>
      </c>
      <c r="B31" s="287">
        <v>10</v>
      </c>
      <c r="C31" s="294">
        <v>498.5</v>
      </c>
      <c r="D31" s="287">
        <v>0</v>
      </c>
      <c r="E31" s="288">
        <v>0</v>
      </c>
      <c r="F31" s="287">
        <v>10</v>
      </c>
      <c r="G31" s="288">
        <v>498.5</v>
      </c>
      <c r="H31" s="284">
        <v>69790</v>
      </c>
      <c r="I31" s="295">
        <v>140</v>
      </c>
      <c r="J31" s="262"/>
      <c r="K31" s="262"/>
    </row>
    <row r="32" spans="1:11" ht="15" customHeight="1">
      <c r="A32" s="283" t="s">
        <v>150</v>
      </c>
      <c r="B32" s="274"/>
      <c r="C32" s="294">
        <v>0</v>
      </c>
      <c r="D32" s="287">
        <v>4</v>
      </c>
      <c r="E32" s="288">
        <v>199.5</v>
      </c>
      <c r="F32" s="287">
        <v>4</v>
      </c>
      <c r="G32" s="288">
        <v>199.5</v>
      </c>
      <c r="H32" s="284">
        <v>49875</v>
      </c>
      <c r="I32" s="295">
        <v>250</v>
      </c>
      <c r="J32" s="262"/>
      <c r="K32" s="262"/>
    </row>
    <row r="33" spans="1:11" ht="15" customHeight="1">
      <c r="A33" s="283" t="s">
        <v>226</v>
      </c>
      <c r="B33" s="287">
        <v>10</v>
      </c>
      <c r="C33" s="294">
        <v>498.5</v>
      </c>
      <c r="D33" s="287">
        <v>5</v>
      </c>
      <c r="E33" s="288">
        <v>249.2</v>
      </c>
      <c r="F33" s="287">
        <f>10+5</f>
        <v>15</v>
      </c>
      <c r="G33" s="288">
        <f>498.5+249.2</f>
        <v>747.7</v>
      </c>
      <c r="H33" s="284">
        <f>83748+39872</f>
        <v>123620</v>
      </c>
      <c r="I33" s="295">
        <f>H33/G33</f>
        <v>165.33368998261335</v>
      </c>
      <c r="J33" s="262"/>
      <c r="K33" s="262"/>
    </row>
    <row r="34" spans="1:11" ht="15" customHeight="1">
      <c r="A34" s="283" t="s">
        <v>157</v>
      </c>
      <c r="B34" s="287">
        <v>10</v>
      </c>
      <c r="C34" s="294">
        <v>498.5</v>
      </c>
      <c r="D34" s="287">
        <v>0</v>
      </c>
      <c r="E34" s="288">
        <v>0</v>
      </c>
      <c r="F34" s="287">
        <v>10</v>
      </c>
      <c r="G34" s="288">
        <v>498.5</v>
      </c>
      <c r="H34" s="284">
        <v>64805</v>
      </c>
      <c r="I34" s="295">
        <v>130</v>
      </c>
      <c r="J34" s="262"/>
      <c r="K34" s="262"/>
    </row>
    <row r="35" spans="1:11" ht="15" customHeight="1">
      <c r="A35" s="283" t="s">
        <v>94</v>
      </c>
      <c r="B35" s="274"/>
      <c r="C35" s="294">
        <v>0</v>
      </c>
      <c r="D35" s="287">
        <v>75</v>
      </c>
      <c r="E35" s="288">
        <v>3744.5</v>
      </c>
      <c r="F35" s="287">
        <v>75</v>
      </c>
      <c r="G35" s="288">
        <v>3744.5</v>
      </c>
      <c r="H35" s="284" t="s">
        <v>416</v>
      </c>
      <c r="I35" s="295">
        <v>193.26</v>
      </c>
      <c r="J35" s="262"/>
      <c r="K35" s="262"/>
    </row>
    <row r="36" spans="1:11" ht="15" customHeight="1">
      <c r="A36" s="283" t="s">
        <v>190</v>
      </c>
      <c r="B36" s="287">
        <v>11</v>
      </c>
      <c r="C36" s="294">
        <v>548.5</v>
      </c>
      <c r="D36" s="287">
        <v>0</v>
      </c>
      <c r="E36" s="288">
        <v>0</v>
      </c>
      <c r="F36" s="287">
        <v>11</v>
      </c>
      <c r="G36" s="288">
        <v>548.5</v>
      </c>
      <c r="H36" s="284" t="s">
        <v>417</v>
      </c>
      <c r="I36" s="295">
        <v>241</v>
      </c>
      <c r="J36" s="262"/>
      <c r="K36" s="262"/>
    </row>
    <row r="37" spans="1:11" ht="15" customHeight="1">
      <c r="A37" s="283" t="s">
        <v>266</v>
      </c>
      <c r="B37" s="274"/>
      <c r="C37" s="294">
        <v>0</v>
      </c>
      <c r="D37" s="287">
        <v>60</v>
      </c>
      <c r="E37" s="288">
        <v>2992.6</v>
      </c>
      <c r="F37" s="287">
        <v>60</v>
      </c>
      <c r="G37" s="288">
        <v>2992.6</v>
      </c>
      <c r="H37" s="284" t="s">
        <v>418</v>
      </c>
      <c r="I37" s="295">
        <v>186.75</v>
      </c>
      <c r="J37" s="262"/>
      <c r="K37" s="262"/>
    </row>
    <row r="38" spans="1:11" ht="15" customHeight="1">
      <c r="A38" s="283" t="s">
        <v>98</v>
      </c>
      <c r="B38" s="287">
        <v>430</v>
      </c>
      <c r="C38" s="294">
        <v>21431</v>
      </c>
      <c r="D38" s="287">
        <v>30</v>
      </c>
      <c r="E38" s="288">
        <v>1497.9</v>
      </c>
      <c r="F38" s="287">
        <v>460</v>
      </c>
      <c r="G38" s="288">
        <v>22928.9</v>
      </c>
      <c r="H38" s="284">
        <v>2920920</v>
      </c>
      <c r="I38" s="295">
        <f>H38/G38</f>
        <v>127.3903240015875</v>
      </c>
      <c r="J38" s="262"/>
      <c r="K38" s="262"/>
    </row>
    <row r="39" spans="1:11" ht="15" customHeight="1">
      <c r="A39" s="283" t="s">
        <v>99</v>
      </c>
      <c r="B39" s="274"/>
      <c r="C39" s="294">
        <v>0</v>
      </c>
      <c r="D39" s="287">
        <v>60</v>
      </c>
      <c r="E39" s="288">
        <v>2992.3</v>
      </c>
      <c r="F39" s="287">
        <v>60</v>
      </c>
      <c r="G39" s="288">
        <v>2992.3</v>
      </c>
      <c r="H39" s="284" t="s">
        <v>419</v>
      </c>
      <c r="I39" s="295">
        <v>213.22</v>
      </c>
      <c r="J39" s="262"/>
      <c r="K39" s="262"/>
    </row>
    <row r="40" spans="1:11" ht="15" customHeight="1">
      <c r="A40" s="283" t="s">
        <v>101</v>
      </c>
      <c r="B40" s="287">
        <v>20</v>
      </c>
      <c r="C40" s="294">
        <v>997</v>
      </c>
      <c r="D40" s="287">
        <v>0</v>
      </c>
      <c r="E40" s="288">
        <v>0</v>
      </c>
      <c r="F40" s="287">
        <v>20</v>
      </c>
      <c r="G40" s="288">
        <v>997</v>
      </c>
      <c r="H40" s="284" t="s">
        <v>70</v>
      </c>
      <c r="I40" s="295">
        <v>130</v>
      </c>
      <c r="J40" s="262"/>
      <c r="K40" s="262"/>
    </row>
    <row r="41" spans="1:11" ht="15" customHeight="1">
      <c r="A41" s="283" t="s">
        <v>395</v>
      </c>
      <c r="B41" s="274"/>
      <c r="C41" s="294">
        <v>0</v>
      </c>
      <c r="D41" s="287">
        <v>9</v>
      </c>
      <c r="E41" s="288">
        <v>449</v>
      </c>
      <c r="F41" s="287">
        <v>9</v>
      </c>
      <c r="G41" s="288">
        <v>449</v>
      </c>
      <c r="H41" s="284" t="s">
        <v>420</v>
      </c>
      <c r="I41" s="295">
        <v>238.67</v>
      </c>
      <c r="J41" s="262"/>
      <c r="K41" s="262"/>
    </row>
    <row r="42" spans="1:11" ht="15" customHeight="1">
      <c r="A42" s="283" t="s">
        <v>14</v>
      </c>
      <c r="B42" s="286">
        <v>1926</v>
      </c>
      <c r="C42" s="294">
        <v>96022</v>
      </c>
      <c r="D42" s="287">
        <v>526</v>
      </c>
      <c r="E42" s="288">
        <v>26252.4</v>
      </c>
      <c r="F42" s="286">
        <v>2452</v>
      </c>
      <c r="G42" s="288" t="s">
        <v>421</v>
      </c>
      <c r="H42" s="284" t="s">
        <v>422</v>
      </c>
      <c r="I42" s="295">
        <v>185.48</v>
      </c>
      <c r="J42" s="262"/>
      <c r="K42" s="262"/>
    </row>
    <row r="43" spans="1:11" ht="15" customHeight="1">
      <c r="A43" s="263" t="s">
        <v>117</v>
      </c>
      <c r="B43" s="289"/>
      <c r="C43" s="276"/>
      <c r="D43" s="289"/>
      <c r="E43" s="290"/>
      <c r="F43" s="289"/>
      <c r="G43" s="276"/>
      <c r="H43" s="278"/>
      <c r="I43" s="278"/>
      <c r="J43" s="262"/>
      <c r="K43" s="262"/>
    </row>
    <row r="44" spans="1:11" ht="15" customHeight="1">
      <c r="A44" s="263" t="s">
        <v>118</v>
      </c>
      <c r="B44" s="289"/>
      <c r="C44" s="276"/>
      <c r="D44" s="289"/>
      <c r="E44" s="290"/>
      <c r="F44" s="291"/>
      <c r="G44" s="292" t="s">
        <v>119</v>
      </c>
      <c r="H44" s="278"/>
      <c r="I44" s="278"/>
      <c r="J44" s="262"/>
      <c r="K44" s="262"/>
    </row>
    <row r="45" spans="1:11" ht="15" customHeight="1">
      <c r="A45" s="263" t="s">
        <v>120</v>
      </c>
      <c r="B45" s="289"/>
      <c r="C45" s="276"/>
      <c r="D45" s="289"/>
      <c r="E45" s="1"/>
      <c r="F45" s="290"/>
      <c r="G45" s="293" t="s">
        <v>121</v>
      </c>
      <c r="H45" s="278"/>
      <c r="I45" s="278"/>
      <c r="J45" s="262"/>
      <c r="K45" s="262"/>
    </row>
    <row r="46" spans="1:11" ht="15" customHeight="1">
      <c r="A46" s="263" t="s">
        <v>122</v>
      </c>
      <c r="B46" s="289"/>
      <c r="C46" s="276"/>
      <c r="D46" s="289"/>
      <c r="E46" s="290"/>
      <c r="F46" s="289"/>
      <c r="G46" s="276"/>
      <c r="H46" s="278"/>
      <c r="I46" s="278"/>
      <c r="J46" s="262"/>
      <c r="K46" s="262"/>
    </row>
    <row r="47" spans="1:11" ht="15" customHeight="1">
      <c r="A47" s="263" t="s">
        <v>123</v>
      </c>
      <c r="B47" s="289"/>
      <c r="C47" s="276"/>
      <c r="D47" s="289"/>
      <c r="E47" s="290"/>
      <c r="F47" s="289"/>
      <c r="G47" s="276"/>
      <c r="H47" s="278"/>
      <c r="I47" s="278"/>
      <c r="J47" s="262"/>
      <c r="K47" s="262"/>
    </row>
    <row r="48" spans="1:10" ht="15" customHeight="1">
      <c r="A48" s="1"/>
      <c r="J48" s="1"/>
    </row>
    <row r="49" spans="1:10" ht="15" customHeight="1">
      <c r="A49" s="1"/>
      <c r="J49" s="1"/>
    </row>
    <row r="50" spans="1:10" ht="15" customHeight="1">
      <c r="A50" s="1"/>
      <c r="J50" s="1"/>
    </row>
    <row r="51" spans="1:10" ht="15" customHeight="1">
      <c r="A51" s="1"/>
      <c r="J51" s="1"/>
    </row>
    <row r="52" spans="1:10" ht="15" customHeight="1">
      <c r="A52" s="1"/>
      <c r="J52" s="1"/>
    </row>
    <row r="53" spans="1:10" ht="15" customHeight="1">
      <c r="A53" s="1"/>
      <c r="J53" s="1"/>
    </row>
    <row r="54" spans="1:10" ht="15" customHeight="1">
      <c r="A54" s="1"/>
      <c r="J54" s="1"/>
    </row>
    <row r="55" ht="15" customHeight="1">
      <c r="A55" s="1"/>
    </row>
    <row r="56" ht="15" customHeight="1">
      <c r="A56" s="1"/>
    </row>
    <row r="57" spans="1:9" ht="15" customHeight="1">
      <c r="A57" s="41"/>
      <c r="B57" s="42"/>
      <c r="C57" s="44"/>
      <c r="D57" s="42"/>
      <c r="E57" s="44"/>
      <c r="F57" s="42"/>
      <c r="G57" s="44"/>
      <c r="H57" s="47"/>
      <c r="I57" s="47"/>
    </row>
    <row r="58" spans="1:9" ht="15" customHeight="1">
      <c r="A58" s="41"/>
      <c r="B58" s="42"/>
      <c r="C58" s="44"/>
      <c r="D58" s="42"/>
      <c r="E58" s="44"/>
      <c r="F58" s="42"/>
      <c r="G58" s="44"/>
      <c r="H58" s="47"/>
      <c r="I58" s="47"/>
    </row>
    <row r="59" spans="1:9" ht="15" customHeight="1">
      <c r="A59" s="41"/>
      <c r="B59" s="42"/>
      <c r="C59" s="44"/>
      <c r="D59" s="42"/>
      <c r="E59" s="44"/>
      <c r="F59" s="42"/>
      <c r="G59" s="44"/>
      <c r="H59" s="47"/>
      <c r="I59" s="47"/>
    </row>
    <row r="60" spans="1:9" ht="15" customHeight="1">
      <c r="A60" s="41"/>
      <c r="B60" s="42"/>
      <c r="C60" s="44"/>
      <c r="D60" s="42"/>
      <c r="E60" s="44"/>
      <c r="F60" s="42"/>
      <c r="G60" s="44"/>
      <c r="H60" s="47"/>
      <c r="I60" s="47"/>
    </row>
    <row r="61" spans="1:9" ht="15" customHeight="1">
      <c r="A61" s="41"/>
      <c r="B61" s="42"/>
      <c r="C61" s="44"/>
      <c r="D61" s="42"/>
      <c r="E61" s="44"/>
      <c r="F61" s="42"/>
      <c r="G61" s="44"/>
      <c r="H61" s="47"/>
      <c r="I61" s="47"/>
    </row>
    <row r="62" spans="1:9" ht="15" customHeight="1">
      <c r="A62" s="41"/>
      <c r="B62" s="42"/>
      <c r="C62" s="44"/>
      <c r="D62" s="42"/>
      <c r="E62" s="44"/>
      <c r="F62" s="42"/>
      <c r="G62" s="44"/>
      <c r="H62" s="47"/>
      <c r="I62" s="47"/>
    </row>
    <row r="63" spans="1:9" ht="15" customHeight="1">
      <c r="A63" s="41"/>
      <c r="B63" s="42"/>
      <c r="C63" s="44"/>
      <c r="D63" s="42"/>
      <c r="E63" s="44"/>
      <c r="F63" s="42"/>
      <c r="G63" s="44"/>
      <c r="H63" s="47"/>
      <c r="I63" s="47"/>
    </row>
    <row r="64" spans="1:9" ht="15" customHeight="1">
      <c r="A64" s="41"/>
      <c r="B64" s="42"/>
      <c r="C64" s="44"/>
      <c r="D64" s="42"/>
      <c r="E64" s="44"/>
      <c r="F64" s="42"/>
      <c r="G64" s="44"/>
      <c r="H64" s="47"/>
      <c r="I64" s="47"/>
    </row>
    <row r="65" spans="1:9" ht="15" customHeight="1">
      <c r="A65" s="41"/>
      <c r="B65" s="42"/>
      <c r="C65" s="44"/>
      <c r="D65" s="42"/>
      <c r="E65" s="44"/>
      <c r="F65" s="42"/>
      <c r="G65" s="44"/>
      <c r="H65" s="47"/>
      <c r="I65" s="47"/>
    </row>
    <row r="66" spans="1:9" ht="15" customHeight="1">
      <c r="A66" s="41"/>
      <c r="B66" s="42"/>
      <c r="C66" s="44"/>
      <c r="D66" s="42"/>
      <c r="E66" s="44"/>
      <c r="F66" s="42"/>
      <c r="G66" s="44"/>
      <c r="H66" s="47"/>
      <c r="I66" s="47"/>
    </row>
    <row r="67" spans="1:9" ht="15" customHeight="1">
      <c r="A67" s="41"/>
      <c r="B67" s="42"/>
      <c r="C67" s="44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4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4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4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4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4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4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4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4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4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4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4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4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4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4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4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4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4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4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4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4"/>
      <c r="D89" s="42"/>
      <c r="E89" s="44"/>
      <c r="F89" s="42"/>
      <c r="G89" s="44"/>
      <c r="H89" s="47"/>
      <c r="I89" s="47"/>
    </row>
    <row r="90" spans="1:9" ht="15" customHeight="1">
      <c r="A90" s="41"/>
      <c r="B90" s="42"/>
      <c r="C90" s="44"/>
      <c r="D90" s="42"/>
      <c r="E90" s="44"/>
      <c r="F90" s="42"/>
      <c r="G90" s="44"/>
      <c r="H90" s="47"/>
      <c r="I90" s="47"/>
    </row>
    <row r="91" spans="1:9" ht="15" customHeight="1">
      <c r="A91" s="41"/>
      <c r="B91" s="42"/>
      <c r="C91" s="44"/>
      <c r="D91" s="42"/>
      <c r="E91" s="44"/>
      <c r="F91" s="42"/>
      <c r="G91" s="44"/>
      <c r="H91" s="47"/>
      <c r="I91" s="47"/>
    </row>
    <row r="92" spans="1:9" ht="15" customHeight="1">
      <c r="A92" s="41"/>
      <c r="B92" s="42"/>
      <c r="C92" s="44"/>
      <c r="D92" s="42"/>
      <c r="E92" s="44"/>
      <c r="F92" s="42"/>
      <c r="G92" s="44"/>
      <c r="H92" s="47"/>
      <c r="I92" s="47"/>
    </row>
    <row r="93" spans="1:9" ht="15" customHeight="1">
      <c r="A93" s="41"/>
      <c r="B93" s="42"/>
      <c r="C93" s="44"/>
      <c r="D93" s="42"/>
      <c r="E93" s="44"/>
      <c r="F93" s="42"/>
      <c r="G93" s="44"/>
      <c r="H93" s="47"/>
      <c r="I93" s="47"/>
    </row>
    <row r="94" spans="1:9" ht="15" customHeight="1">
      <c r="A94" s="41"/>
      <c r="B94" s="42"/>
      <c r="C94" s="44"/>
      <c r="D94" s="42"/>
      <c r="E94" s="44"/>
      <c r="F94" s="42"/>
      <c r="G94" s="44"/>
      <c r="H94" s="47"/>
      <c r="I94" s="47"/>
    </row>
    <row r="95" spans="1:9" ht="15" customHeight="1">
      <c r="A95" s="41"/>
      <c r="B95" s="42"/>
      <c r="C95" s="44"/>
      <c r="D95" s="42"/>
      <c r="E95" s="44"/>
      <c r="F95" s="42"/>
      <c r="G95" s="44"/>
      <c r="H95" s="47"/>
      <c r="I95" s="47"/>
    </row>
    <row r="96" spans="1:9" ht="15" customHeight="1">
      <c r="A96" s="41"/>
      <c r="B96" s="42"/>
      <c r="C96" s="44"/>
      <c r="D96" s="42"/>
      <c r="E96" s="44"/>
      <c r="F96" s="42"/>
      <c r="G96" s="44"/>
      <c r="H96" s="47"/>
      <c r="I96" s="47"/>
    </row>
  </sheetData>
  <sheetProtection/>
  <printOptions/>
  <pageMargins left="0.7" right="0.7" top="0.83" bottom="0.75" header="0.3" footer="0.3"/>
  <pageSetup horizontalDpi="600" verticalDpi="600" orientation="portrait" scale="85" r:id="rId1"/>
  <headerFooter>
    <oddHeader>&amp;RProduce Brokers Limited
1349/A, North Agrabad, D.T. Road Askarabad (1st floor)
Chattogram-4224
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1">
      <selection activeCell="A3" sqref="A3"/>
    </sheetView>
  </sheetViews>
  <sheetFormatPr defaultColWidth="9.140625" defaultRowHeight="15" customHeight="1"/>
  <cols>
    <col min="1" max="1" width="30.140625" style="177" customWidth="1"/>
    <col min="2" max="2" width="7.140625" style="31" customWidth="1"/>
    <col min="3" max="3" width="9.7109375" style="244" customWidth="1"/>
    <col min="4" max="4" width="7.7109375" style="31" customWidth="1"/>
    <col min="5" max="5" width="10.28125" style="244" bestFit="1" customWidth="1"/>
    <col min="6" max="6" width="7.57421875" style="31" customWidth="1"/>
    <col min="7" max="7" width="10.421875" style="244" bestFit="1" customWidth="1"/>
    <col min="8" max="8" width="13.140625" style="48" bestFit="1" customWidth="1"/>
    <col min="9" max="9" width="8.8515625" style="48" customWidth="1"/>
    <col min="10" max="16384" width="8.8515625" style="177" customWidth="1"/>
  </cols>
  <sheetData>
    <row r="1" spans="1:11" ht="15" customHeight="1">
      <c r="A1" s="263" t="s">
        <v>370</v>
      </c>
      <c r="B1" s="264"/>
      <c r="C1" s="265"/>
      <c r="D1" s="264"/>
      <c r="E1" s="266"/>
      <c r="F1" s="264"/>
      <c r="G1" s="265"/>
      <c r="H1" s="267"/>
      <c r="I1" s="267"/>
      <c r="J1" s="262"/>
      <c r="K1" s="262"/>
    </row>
    <row r="2" spans="1:11" ht="15" customHeight="1">
      <c r="A2" s="263" t="s">
        <v>426</v>
      </c>
      <c r="B2" s="264"/>
      <c r="C2" s="265"/>
      <c r="D2" s="264"/>
      <c r="E2" s="266"/>
      <c r="F2" s="264"/>
      <c r="G2" s="265"/>
      <c r="H2" s="267"/>
      <c r="I2" s="267"/>
      <c r="J2" s="262"/>
      <c r="K2" s="262"/>
    </row>
    <row r="3" spans="1:11" ht="15" customHeight="1">
      <c r="A3" s="263" t="s">
        <v>110</v>
      </c>
      <c r="B3" s="264"/>
      <c r="C3" s="265"/>
      <c r="D3" s="264"/>
      <c r="E3" s="266"/>
      <c r="F3" s="264"/>
      <c r="G3" s="265"/>
      <c r="H3" s="267"/>
      <c r="I3" s="267"/>
      <c r="J3" s="262"/>
      <c r="K3" s="262"/>
    </row>
    <row r="4" spans="1:11" ht="15" customHeight="1">
      <c r="A4" s="263" t="s">
        <v>5</v>
      </c>
      <c r="B4" s="264"/>
      <c r="C4" s="265"/>
      <c r="D4" s="264"/>
      <c r="E4" s="266"/>
      <c r="F4" s="264"/>
      <c r="G4" s="265"/>
      <c r="H4" s="267"/>
      <c r="I4" s="267"/>
      <c r="J4" s="262"/>
      <c r="K4" s="262"/>
    </row>
    <row r="5" spans="1:11" ht="15" customHeight="1">
      <c r="A5" s="263" t="s">
        <v>6</v>
      </c>
      <c r="B5" s="264"/>
      <c r="C5" s="265"/>
      <c r="D5" s="264"/>
      <c r="E5" s="268"/>
      <c r="F5" s="264"/>
      <c r="G5" s="265"/>
      <c r="H5" s="267"/>
      <c r="I5" s="267"/>
      <c r="J5" s="262"/>
      <c r="K5" s="262"/>
    </row>
    <row r="6" spans="1:11" ht="15" customHeight="1">
      <c r="A6" s="263" t="s">
        <v>111</v>
      </c>
      <c r="B6" s="264"/>
      <c r="C6" s="265"/>
      <c r="D6" s="264"/>
      <c r="E6" s="266"/>
      <c r="F6" s="264"/>
      <c r="G6" s="265"/>
      <c r="H6" s="267"/>
      <c r="I6" s="267"/>
      <c r="J6" s="262"/>
      <c r="K6" s="262"/>
    </row>
    <row r="7" spans="1:11" ht="15" customHeight="1">
      <c r="A7" s="263" t="s">
        <v>112</v>
      </c>
      <c r="B7" s="264"/>
      <c r="C7" s="265"/>
      <c r="D7" s="264"/>
      <c r="E7" s="269" t="s">
        <v>113</v>
      </c>
      <c r="F7" s="264"/>
      <c r="G7" s="265"/>
      <c r="H7" s="267"/>
      <c r="I7" s="267"/>
      <c r="J7" s="262"/>
      <c r="K7" s="262"/>
    </row>
    <row r="8" spans="1:11" ht="15" customHeight="1">
      <c r="A8" s="263" t="s">
        <v>371</v>
      </c>
      <c r="B8" s="270"/>
      <c r="C8" s="271"/>
      <c r="D8" s="270"/>
      <c r="E8" s="272"/>
      <c r="F8" s="270"/>
      <c r="G8" s="271"/>
      <c r="H8" s="273"/>
      <c r="I8" s="273"/>
      <c r="J8" s="262"/>
      <c r="K8" s="262"/>
    </row>
    <row r="9" spans="1:11" ht="15" customHeight="1">
      <c r="A9" s="274"/>
      <c r="B9" s="275" t="s">
        <v>45</v>
      </c>
      <c r="C9" s="276"/>
      <c r="D9" s="275" t="s">
        <v>46</v>
      </c>
      <c r="E9" s="276"/>
      <c r="F9" s="275"/>
      <c r="G9" s="277" t="s">
        <v>47</v>
      </c>
      <c r="H9" s="278"/>
      <c r="I9" s="278"/>
      <c r="J9" s="262"/>
      <c r="K9" s="262"/>
    </row>
    <row r="10" spans="1:11" ht="15" customHeight="1">
      <c r="A10" s="279" t="s">
        <v>48</v>
      </c>
      <c r="B10" s="280" t="s">
        <v>49</v>
      </c>
      <c r="C10" s="281" t="s">
        <v>50</v>
      </c>
      <c r="D10" s="280" t="s">
        <v>49</v>
      </c>
      <c r="E10" s="281" t="s">
        <v>50</v>
      </c>
      <c r="F10" s="280" t="s">
        <v>49</v>
      </c>
      <c r="G10" s="281" t="s">
        <v>50</v>
      </c>
      <c r="H10" s="282" t="s">
        <v>51</v>
      </c>
      <c r="I10" s="282" t="s">
        <v>52</v>
      </c>
      <c r="J10" s="262"/>
      <c r="K10" s="262"/>
    </row>
    <row r="11" spans="1:11" ht="15" customHeight="1">
      <c r="A11" s="283" t="s">
        <v>319</v>
      </c>
      <c r="B11" s="275">
        <v>80</v>
      </c>
      <c r="C11" s="277">
        <v>3988</v>
      </c>
      <c r="D11" s="275">
        <v>0</v>
      </c>
      <c r="E11" s="277">
        <v>0</v>
      </c>
      <c r="F11" s="275">
        <v>80</v>
      </c>
      <c r="G11" s="277">
        <v>3988</v>
      </c>
      <c r="H11" s="284" t="s">
        <v>372</v>
      </c>
      <c r="I11" s="284">
        <v>170.38</v>
      </c>
      <c r="J11" s="262"/>
      <c r="K11" s="262"/>
    </row>
    <row r="12" spans="1:11" ht="15" customHeight="1">
      <c r="A12" s="283" t="s">
        <v>53</v>
      </c>
      <c r="B12" s="275">
        <v>220</v>
      </c>
      <c r="C12" s="277">
        <v>10967</v>
      </c>
      <c r="D12" s="275">
        <v>22</v>
      </c>
      <c r="E12" s="277">
        <v>1097.4</v>
      </c>
      <c r="F12" s="275">
        <v>242</v>
      </c>
      <c r="G12" s="277">
        <v>12064.4</v>
      </c>
      <c r="H12" s="284" t="s">
        <v>373</v>
      </c>
      <c r="I12" s="284">
        <v>191.8</v>
      </c>
      <c r="J12" s="262"/>
      <c r="K12" s="262"/>
    </row>
    <row r="13" spans="1:11" ht="15" customHeight="1">
      <c r="A13" s="283" t="s">
        <v>128</v>
      </c>
      <c r="B13" s="275">
        <v>50</v>
      </c>
      <c r="C13" s="277">
        <v>2492.5</v>
      </c>
      <c r="D13" s="275">
        <v>106</v>
      </c>
      <c r="E13" s="277">
        <v>5291.4</v>
      </c>
      <c r="F13" s="275">
        <v>156</v>
      </c>
      <c r="G13" s="277">
        <v>7783.9</v>
      </c>
      <c r="H13" s="284" t="s">
        <v>374</v>
      </c>
      <c r="I13" s="284">
        <v>158.33</v>
      </c>
      <c r="J13" s="262"/>
      <c r="K13" s="262"/>
    </row>
    <row r="14" spans="1:11" ht="15" customHeight="1">
      <c r="A14" s="283" t="s">
        <v>57</v>
      </c>
      <c r="B14" s="275">
        <v>10</v>
      </c>
      <c r="C14" s="277">
        <v>498.5</v>
      </c>
      <c r="D14" s="275">
        <v>0</v>
      </c>
      <c r="E14" s="277">
        <v>0</v>
      </c>
      <c r="F14" s="275">
        <v>10</v>
      </c>
      <c r="G14" s="277">
        <v>498.5</v>
      </c>
      <c r="H14" s="284">
        <v>87237.5</v>
      </c>
      <c r="I14" s="284">
        <v>175</v>
      </c>
      <c r="J14" s="262"/>
      <c r="K14" s="262"/>
    </row>
    <row r="15" spans="1:11" ht="15" customHeight="1">
      <c r="A15" s="283" t="s">
        <v>205</v>
      </c>
      <c r="B15" s="275">
        <v>2</v>
      </c>
      <c r="C15" s="277">
        <v>100</v>
      </c>
      <c r="D15" s="275">
        <v>0</v>
      </c>
      <c r="E15" s="277">
        <v>0</v>
      </c>
      <c r="F15" s="275">
        <v>2</v>
      </c>
      <c r="G15" s="277">
        <v>100</v>
      </c>
      <c r="H15" s="284">
        <v>23700</v>
      </c>
      <c r="I15" s="284">
        <v>237</v>
      </c>
      <c r="J15" s="262"/>
      <c r="K15" s="262"/>
    </row>
    <row r="16" spans="1:11" ht="15" customHeight="1">
      <c r="A16" s="283" t="s">
        <v>67</v>
      </c>
      <c r="B16" s="285"/>
      <c r="C16" s="277">
        <v>0</v>
      </c>
      <c r="D16" s="275">
        <v>40</v>
      </c>
      <c r="E16" s="277">
        <v>1996.8</v>
      </c>
      <c r="F16" s="275">
        <v>40</v>
      </c>
      <c r="G16" s="277">
        <v>1996.8</v>
      </c>
      <c r="H16" s="284" t="s">
        <v>375</v>
      </c>
      <c r="I16" s="284">
        <v>198</v>
      </c>
      <c r="J16" s="262"/>
      <c r="K16" s="262"/>
    </row>
    <row r="17" spans="1:11" ht="15" customHeight="1">
      <c r="A17" s="283" t="s">
        <v>69</v>
      </c>
      <c r="B17" s="275">
        <v>30</v>
      </c>
      <c r="C17" s="277">
        <v>1497</v>
      </c>
      <c r="D17" s="275">
        <v>0</v>
      </c>
      <c r="E17" s="277">
        <v>0</v>
      </c>
      <c r="F17" s="275">
        <v>30</v>
      </c>
      <c r="G17" s="277">
        <v>1497</v>
      </c>
      <c r="H17" s="284" t="s">
        <v>376</v>
      </c>
      <c r="I17" s="284">
        <v>167.31</v>
      </c>
      <c r="J17" s="262"/>
      <c r="K17" s="262"/>
    </row>
    <row r="18" spans="1:11" ht="15" customHeight="1">
      <c r="A18" s="283" t="s">
        <v>71</v>
      </c>
      <c r="B18" s="275">
        <v>594</v>
      </c>
      <c r="C18" s="277">
        <v>29614.5</v>
      </c>
      <c r="D18" s="275">
        <v>105</v>
      </c>
      <c r="E18" s="277">
        <v>5239.2</v>
      </c>
      <c r="F18" s="275">
        <v>699</v>
      </c>
      <c r="G18" s="277">
        <v>34853.7</v>
      </c>
      <c r="H18" s="284" t="s">
        <v>377</v>
      </c>
      <c r="I18" s="284">
        <v>192.73</v>
      </c>
      <c r="J18" s="262"/>
      <c r="K18" s="262"/>
    </row>
    <row r="19" spans="1:11" ht="15" customHeight="1">
      <c r="A19" s="283" t="s">
        <v>141</v>
      </c>
      <c r="B19" s="275">
        <v>20</v>
      </c>
      <c r="C19" s="277">
        <v>997</v>
      </c>
      <c r="D19" s="275">
        <v>15</v>
      </c>
      <c r="E19" s="277">
        <v>748.4</v>
      </c>
      <c r="F19" s="275">
        <v>35</v>
      </c>
      <c r="G19" s="277">
        <v>1745.4</v>
      </c>
      <c r="H19" s="284" t="s">
        <v>378</v>
      </c>
      <c r="I19" s="284">
        <v>131.57</v>
      </c>
      <c r="J19" s="262"/>
      <c r="K19" s="262"/>
    </row>
    <row r="20" spans="1:11" ht="15" customHeight="1">
      <c r="A20" s="283" t="s">
        <v>73</v>
      </c>
      <c r="B20" s="275">
        <v>30</v>
      </c>
      <c r="C20" s="277">
        <v>1495.5</v>
      </c>
      <c r="D20" s="275">
        <v>0</v>
      </c>
      <c r="E20" s="277">
        <v>0</v>
      </c>
      <c r="F20" s="275">
        <v>30</v>
      </c>
      <c r="G20" s="277">
        <v>1495.5</v>
      </c>
      <c r="H20" s="284" t="s">
        <v>379</v>
      </c>
      <c r="I20" s="284">
        <v>232</v>
      </c>
      <c r="J20" s="262"/>
      <c r="K20" s="262"/>
    </row>
    <row r="21" spans="1:11" ht="15" customHeight="1">
      <c r="A21" s="283" t="s">
        <v>75</v>
      </c>
      <c r="B21" s="275">
        <v>8</v>
      </c>
      <c r="C21" s="277">
        <v>399.5</v>
      </c>
      <c r="D21" s="275">
        <v>3</v>
      </c>
      <c r="E21" s="277">
        <v>149.5</v>
      </c>
      <c r="F21" s="275">
        <v>11</v>
      </c>
      <c r="G21" s="277">
        <v>549</v>
      </c>
      <c r="H21" s="284" t="s">
        <v>380</v>
      </c>
      <c r="I21" s="284">
        <v>241.21</v>
      </c>
      <c r="J21" s="262"/>
      <c r="K21" s="262"/>
    </row>
    <row r="22" spans="1:11" ht="15" customHeight="1">
      <c r="A22" s="283" t="s">
        <v>77</v>
      </c>
      <c r="B22" s="285"/>
      <c r="C22" s="277">
        <v>0</v>
      </c>
      <c r="D22" s="275">
        <v>19</v>
      </c>
      <c r="E22" s="277">
        <v>947.9</v>
      </c>
      <c r="F22" s="275">
        <v>19</v>
      </c>
      <c r="G22" s="277">
        <v>947.9</v>
      </c>
      <c r="H22" s="284" t="s">
        <v>381</v>
      </c>
      <c r="I22" s="284">
        <v>195.53</v>
      </c>
      <c r="J22" s="262"/>
      <c r="K22" s="262"/>
    </row>
    <row r="23" spans="1:11" ht="15" customHeight="1">
      <c r="A23" s="283" t="s">
        <v>221</v>
      </c>
      <c r="B23" s="275">
        <v>80</v>
      </c>
      <c r="C23" s="277">
        <v>3988</v>
      </c>
      <c r="D23" s="275">
        <v>20</v>
      </c>
      <c r="E23" s="277">
        <v>998.4</v>
      </c>
      <c r="F23" s="275">
        <v>100</v>
      </c>
      <c r="G23" s="277">
        <v>4986.4</v>
      </c>
      <c r="H23" s="284" t="s">
        <v>382</v>
      </c>
      <c r="I23" s="284">
        <v>166.3</v>
      </c>
      <c r="J23" s="262"/>
      <c r="K23" s="262"/>
    </row>
    <row r="24" spans="1:11" ht="15" customHeight="1">
      <c r="A24" s="283" t="s">
        <v>81</v>
      </c>
      <c r="B24" s="275">
        <v>30</v>
      </c>
      <c r="C24" s="277">
        <v>1495.5</v>
      </c>
      <c r="D24" s="275">
        <v>0</v>
      </c>
      <c r="E24" s="277">
        <v>0</v>
      </c>
      <c r="F24" s="275">
        <v>30</v>
      </c>
      <c r="G24" s="277">
        <v>1495.5</v>
      </c>
      <c r="H24" s="284" t="s">
        <v>383</v>
      </c>
      <c r="I24" s="284">
        <v>214.67</v>
      </c>
      <c r="J24" s="262"/>
      <c r="K24" s="262"/>
    </row>
    <row r="25" spans="1:11" ht="15" customHeight="1">
      <c r="A25" s="283" t="s">
        <v>83</v>
      </c>
      <c r="B25" s="275">
        <v>90</v>
      </c>
      <c r="C25" s="277">
        <v>4486.5</v>
      </c>
      <c r="D25" s="275">
        <v>25</v>
      </c>
      <c r="E25" s="277">
        <v>1247.4</v>
      </c>
      <c r="F25" s="275">
        <v>115</v>
      </c>
      <c r="G25" s="277">
        <v>5733.9</v>
      </c>
      <c r="H25" s="284" t="s">
        <v>384</v>
      </c>
      <c r="I25" s="284">
        <v>253.05</v>
      </c>
      <c r="J25" s="262"/>
      <c r="K25" s="262"/>
    </row>
    <row r="26" spans="1:11" ht="15" customHeight="1">
      <c r="A26" s="283" t="s">
        <v>85</v>
      </c>
      <c r="B26" s="275">
        <v>28</v>
      </c>
      <c r="C26" s="277">
        <v>1397</v>
      </c>
      <c r="D26" s="275">
        <v>0</v>
      </c>
      <c r="E26" s="277">
        <v>0</v>
      </c>
      <c r="F26" s="275">
        <v>28</v>
      </c>
      <c r="G26" s="277">
        <v>1397</v>
      </c>
      <c r="H26" s="284" t="s">
        <v>385</v>
      </c>
      <c r="I26" s="284">
        <v>170.53</v>
      </c>
      <c r="J26" s="262"/>
      <c r="K26" s="262"/>
    </row>
    <row r="27" spans="1:11" ht="15" customHeight="1">
      <c r="A27" s="283" t="s">
        <v>150</v>
      </c>
      <c r="B27" s="275">
        <v>65</v>
      </c>
      <c r="C27" s="277">
        <v>3242.5</v>
      </c>
      <c r="D27" s="275">
        <v>35</v>
      </c>
      <c r="E27" s="277">
        <v>1745.2</v>
      </c>
      <c r="F27" s="275">
        <v>100</v>
      </c>
      <c r="G27" s="277">
        <v>4987.7</v>
      </c>
      <c r="H27" s="284" t="s">
        <v>386</v>
      </c>
      <c r="I27" s="284">
        <v>145.8</v>
      </c>
      <c r="J27" s="262"/>
      <c r="K27" s="262"/>
    </row>
    <row r="28" spans="1:11" ht="15" customHeight="1">
      <c r="A28" s="283" t="s">
        <v>185</v>
      </c>
      <c r="B28" s="275">
        <v>40</v>
      </c>
      <c r="C28" s="277">
        <v>1994</v>
      </c>
      <c r="D28" s="275">
        <v>0</v>
      </c>
      <c r="E28" s="277">
        <v>0</v>
      </c>
      <c r="F28" s="275">
        <v>40</v>
      </c>
      <c r="G28" s="277">
        <v>1994</v>
      </c>
      <c r="H28" s="284" t="s">
        <v>387</v>
      </c>
      <c r="I28" s="284">
        <v>126.25</v>
      </c>
      <c r="J28" s="262"/>
      <c r="K28" s="262"/>
    </row>
    <row r="29" spans="1:11" ht="15" customHeight="1">
      <c r="A29" s="283" t="s">
        <v>226</v>
      </c>
      <c r="B29" s="285"/>
      <c r="C29" s="277">
        <v>0</v>
      </c>
      <c r="D29" s="275">
        <v>25</v>
      </c>
      <c r="E29" s="277">
        <v>1246</v>
      </c>
      <c r="F29" s="275">
        <v>25</v>
      </c>
      <c r="G29" s="277">
        <v>1246</v>
      </c>
      <c r="H29" s="284" t="s">
        <v>388</v>
      </c>
      <c r="I29" s="284">
        <v>184</v>
      </c>
      <c r="J29" s="262"/>
      <c r="K29" s="262"/>
    </row>
    <row r="30" spans="1:11" ht="15" customHeight="1">
      <c r="A30" s="283" t="s">
        <v>153</v>
      </c>
      <c r="B30" s="275">
        <v>75</v>
      </c>
      <c r="C30" s="277">
        <v>3741</v>
      </c>
      <c r="D30" s="275">
        <v>4</v>
      </c>
      <c r="E30" s="277">
        <v>199</v>
      </c>
      <c r="F30" s="275">
        <v>79</v>
      </c>
      <c r="G30" s="277">
        <v>3940</v>
      </c>
      <c r="H30" s="284" t="s">
        <v>389</v>
      </c>
      <c r="I30" s="284">
        <v>148.65</v>
      </c>
      <c r="J30" s="262"/>
      <c r="K30" s="262"/>
    </row>
    <row r="31" spans="1:11" ht="15" customHeight="1">
      <c r="A31" s="283" t="s">
        <v>92</v>
      </c>
      <c r="B31" s="275">
        <v>20</v>
      </c>
      <c r="C31" s="277">
        <v>997</v>
      </c>
      <c r="D31" s="275">
        <v>0</v>
      </c>
      <c r="E31" s="277">
        <v>0</v>
      </c>
      <c r="F31" s="275">
        <v>20</v>
      </c>
      <c r="G31" s="277">
        <v>997</v>
      </c>
      <c r="H31" s="284" t="s">
        <v>390</v>
      </c>
      <c r="I31" s="284">
        <v>194</v>
      </c>
      <c r="J31" s="262"/>
      <c r="K31" s="262"/>
    </row>
    <row r="32" spans="1:11" ht="15" customHeight="1">
      <c r="A32" s="283" t="s">
        <v>229</v>
      </c>
      <c r="B32" s="275">
        <v>170</v>
      </c>
      <c r="C32" s="277">
        <v>8483.5</v>
      </c>
      <c r="D32" s="275">
        <v>0</v>
      </c>
      <c r="E32" s="277">
        <v>0</v>
      </c>
      <c r="F32" s="275">
        <v>170</v>
      </c>
      <c r="G32" s="277">
        <v>8483.5</v>
      </c>
      <c r="H32" s="284">
        <v>1157307</v>
      </c>
      <c r="I32" s="284">
        <v>136.4185772381682</v>
      </c>
      <c r="J32" s="262"/>
      <c r="K32" s="262"/>
    </row>
    <row r="33" spans="1:11" ht="15" customHeight="1">
      <c r="A33" s="283" t="s">
        <v>157</v>
      </c>
      <c r="B33" s="275">
        <v>10</v>
      </c>
      <c r="C33" s="277">
        <v>498.5</v>
      </c>
      <c r="D33" s="275">
        <v>0</v>
      </c>
      <c r="E33" s="277">
        <v>0</v>
      </c>
      <c r="F33" s="275">
        <v>10</v>
      </c>
      <c r="G33" s="277">
        <v>498.5</v>
      </c>
      <c r="H33" s="284" t="s">
        <v>391</v>
      </c>
      <c r="I33" s="284">
        <v>252</v>
      </c>
      <c r="J33" s="262"/>
      <c r="K33" s="262"/>
    </row>
    <row r="34" spans="1:11" ht="15" customHeight="1">
      <c r="A34" s="283" t="s">
        <v>94</v>
      </c>
      <c r="B34" s="285"/>
      <c r="C34" s="277">
        <v>0</v>
      </c>
      <c r="D34" s="275">
        <v>92</v>
      </c>
      <c r="E34" s="277">
        <v>4592.7</v>
      </c>
      <c r="F34" s="275">
        <v>92</v>
      </c>
      <c r="G34" s="277">
        <v>4592.7</v>
      </c>
      <c r="H34" s="284" t="s">
        <v>392</v>
      </c>
      <c r="I34" s="284">
        <v>203.79</v>
      </c>
      <c r="J34" s="262"/>
      <c r="K34" s="262"/>
    </row>
    <row r="35" spans="1:11" ht="15" customHeight="1">
      <c r="A35" s="283" t="s">
        <v>190</v>
      </c>
      <c r="B35" s="275">
        <v>10</v>
      </c>
      <c r="C35" s="277">
        <v>498.5</v>
      </c>
      <c r="D35" s="275">
        <v>0</v>
      </c>
      <c r="E35" s="277">
        <v>0</v>
      </c>
      <c r="F35" s="275">
        <v>10</v>
      </c>
      <c r="G35" s="277">
        <v>498.5</v>
      </c>
      <c r="H35" s="284" t="s">
        <v>336</v>
      </c>
      <c r="I35" s="284">
        <v>250</v>
      </c>
      <c r="J35" s="262"/>
      <c r="K35" s="262"/>
    </row>
    <row r="36" spans="1:11" ht="15" customHeight="1">
      <c r="A36" s="283" t="s">
        <v>266</v>
      </c>
      <c r="B36" s="285"/>
      <c r="C36" s="277">
        <v>0</v>
      </c>
      <c r="D36" s="275">
        <v>75</v>
      </c>
      <c r="E36" s="277">
        <v>3739.9</v>
      </c>
      <c r="F36" s="275">
        <v>75</v>
      </c>
      <c r="G36" s="277">
        <v>3739.9</v>
      </c>
      <c r="H36" s="284" t="s">
        <v>393</v>
      </c>
      <c r="I36" s="284">
        <v>179.92</v>
      </c>
      <c r="J36" s="262"/>
      <c r="K36" s="262"/>
    </row>
    <row r="37" spans="1:11" ht="15" customHeight="1">
      <c r="A37" s="283" t="s">
        <v>96</v>
      </c>
      <c r="B37" s="275">
        <v>10</v>
      </c>
      <c r="C37" s="277">
        <v>498.5</v>
      </c>
      <c r="D37" s="275">
        <v>0</v>
      </c>
      <c r="E37" s="277">
        <v>0</v>
      </c>
      <c r="F37" s="275">
        <v>10</v>
      </c>
      <c r="G37" s="277">
        <v>498.5</v>
      </c>
      <c r="H37" s="284" t="s">
        <v>353</v>
      </c>
      <c r="I37" s="284">
        <v>259</v>
      </c>
      <c r="J37" s="262"/>
      <c r="K37" s="262"/>
    </row>
    <row r="38" spans="1:11" ht="15" customHeight="1">
      <c r="A38" s="283" t="s">
        <v>98</v>
      </c>
      <c r="B38" s="275">
        <v>270</v>
      </c>
      <c r="C38" s="277">
        <v>13459.5</v>
      </c>
      <c r="D38" s="275">
        <v>50</v>
      </c>
      <c r="E38" s="277">
        <v>2492.8</v>
      </c>
      <c r="F38" s="275">
        <v>320</v>
      </c>
      <c r="G38" s="277">
        <v>15952.3</v>
      </c>
      <c r="H38" s="284">
        <v>2343815.7</v>
      </c>
      <c r="I38" s="284">
        <v>146.92650589570158</v>
      </c>
      <c r="J38" s="262"/>
      <c r="K38" s="262"/>
    </row>
    <row r="39" spans="1:11" ht="15" customHeight="1">
      <c r="A39" s="283" t="s">
        <v>99</v>
      </c>
      <c r="B39" s="285"/>
      <c r="C39" s="277">
        <v>0</v>
      </c>
      <c r="D39" s="275">
        <v>10</v>
      </c>
      <c r="E39" s="277">
        <v>498.4</v>
      </c>
      <c r="F39" s="275">
        <v>10</v>
      </c>
      <c r="G39" s="277">
        <v>498.4</v>
      </c>
      <c r="H39" s="284" t="s">
        <v>394</v>
      </c>
      <c r="I39" s="284">
        <v>203.5</v>
      </c>
      <c r="J39" s="262"/>
      <c r="K39" s="262"/>
    </row>
    <row r="40" spans="1:11" ht="15" customHeight="1">
      <c r="A40" s="283" t="s">
        <v>395</v>
      </c>
      <c r="B40" s="285"/>
      <c r="C40" s="277">
        <v>0</v>
      </c>
      <c r="D40" s="275">
        <v>4</v>
      </c>
      <c r="E40" s="277">
        <v>199.5</v>
      </c>
      <c r="F40" s="275">
        <v>4</v>
      </c>
      <c r="G40" s="277">
        <v>199.5</v>
      </c>
      <c r="H40" s="284">
        <v>46882.5</v>
      </c>
      <c r="I40" s="284">
        <v>235</v>
      </c>
      <c r="J40" s="262"/>
      <c r="K40" s="262"/>
    </row>
    <row r="41" spans="1:11" ht="15" customHeight="1">
      <c r="A41" s="283" t="s">
        <v>194</v>
      </c>
      <c r="B41" s="275">
        <v>20</v>
      </c>
      <c r="C41" s="277">
        <v>997</v>
      </c>
      <c r="D41" s="275">
        <v>0</v>
      </c>
      <c r="E41" s="277">
        <v>0</v>
      </c>
      <c r="F41" s="275">
        <v>20</v>
      </c>
      <c r="G41" s="277">
        <v>997</v>
      </c>
      <c r="H41" s="284" t="s">
        <v>396</v>
      </c>
      <c r="I41" s="284">
        <v>146</v>
      </c>
      <c r="J41" s="262"/>
      <c r="K41" s="262"/>
    </row>
    <row r="42" spans="1:11" ht="15" customHeight="1">
      <c r="A42" s="283" t="s">
        <v>14</v>
      </c>
      <c r="B42" s="275">
        <v>1962</v>
      </c>
      <c r="C42" s="277">
        <v>97826.5</v>
      </c>
      <c r="D42" s="275">
        <v>650</v>
      </c>
      <c r="E42" s="277">
        <v>32429.9</v>
      </c>
      <c r="F42" s="275">
        <v>2612</v>
      </c>
      <c r="G42" s="277" t="s">
        <v>397</v>
      </c>
      <c r="H42" s="284" t="s">
        <v>398</v>
      </c>
      <c r="I42" s="284">
        <v>178.14</v>
      </c>
      <c r="J42" s="262"/>
      <c r="K42" s="262"/>
    </row>
    <row r="43" spans="1:11" ht="15" customHeight="1">
      <c r="A43" s="283"/>
      <c r="B43" s="286"/>
      <c r="C43" s="277"/>
      <c r="D43" s="287"/>
      <c r="E43" s="288"/>
      <c r="F43" s="286"/>
      <c r="G43" s="277"/>
      <c r="H43" s="284"/>
      <c r="I43" s="284"/>
      <c r="J43" s="262"/>
      <c r="K43" s="262"/>
    </row>
    <row r="44" spans="1:11" ht="15" customHeight="1">
      <c r="A44" s="263" t="s">
        <v>117</v>
      </c>
      <c r="B44" s="289"/>
      <c r="C44" s="276"/>
      <c r="D44" s="289"/>
      <c r="E44" s="290"/>
      <c r="F44" s="289"/>
      <c r="G44" s="276"/>
      <c r="H44" s="278"/>
      <c r="I44" s="278"/>
      <c r="J44" s="262"/>
      <c r="K44" s="262"/>
    </row>
    <row r="45" spans="1:11" ht="15" customHeight="1">
      <c r="A45" s="263" t="s">
        <v>118</v>
      </c>
      <c r="B45" s="289"/>
      <c r="C45" s="276"/>
      <c r="D45" s="289"/>
      <c r="E45" s="290"/>
      <c r="F45" s="291"/>
      <c r="G45" s="292" t="s">
        <v>119</v>
      </c>
      <c r="H45" s="278"/>
      <c r="I45" s="278"/>
      <c r="J45" s="262"/>
      <c r="K45" s="262"/>
    </row>
    <row r="46" spans="1:11" ht="15" customHeight="1">
      <c r="A46" s="263" t="s">
        <v>120</v>
      </c>
      <c r="B46" s="289"/>
      <c r="C46" s="276"/>
      <c r="D46" s="289"/>
      <c r="E46" s="1"/>
      <c r="F46" s="290"/>
      <c r="G46" s="293" t="s">
        <v>121</v>
      </c>
      <c r="H46" s="278"/>
      <c r="I46" s="278"/>
      <c r="J46" s="262"/>
      <c r="K46" s="262"/>
    </row>
    <row r="47" spans="1:11" ht="15" customHeight="1">
      <c r="A47" s="263" t="s">
        <v>122</v>
      </c>
      <c r="B47" s="289"/>
      <c r="C47" s="276"/>
      <c r="D47" s="289"/>
      <c r="E47" s="290"/>
      <c r="F47" s="289"/>
      <c r="G47" s="276"/>
      <c r="H47" s="278"/>
      <c r="I47" s="278"/>
      <c r="J47" s="262"/>
      <c r="K47" s="262"/>
    </row>
    <row r="48" spans="1:11" ht="15" customHeight="1">
      <c r="A48" s="263" t="s">
        <v>123</v>
      </c>
      <c r="B48" s="289"/>
      <c r="C48" s="276"/>
      <c r="D48" s="289"/>
      <c r="E48" s="290"/>
      <c r="F48" s="289"/>
      <c r="G48" s="276"/>
      <c r="H48" s="278"/>
      <c r="I48" s="278"/>
      <c r="J48" s="262"/>
      <c r="K48" s="262"/>
    </row>
    <row r="49" spans="1:10" ht="15" customHeight="1">
      <c r="A49" s="1"/>
      <c r="J49" s="1"/>
    </row>
    <row r="50" spans="1:10" ht="15" customHeight="1">
      <c r="A50" s="1"/>
      <c r="J50" s="1"/>
    </row>
    <row r="51" spans="1:10" ht="15" customHeight="1">
      <c r="A51" s="1"/>
      <c r="J51" s="1"/>
    </row>
    <row r="52" spans="1:10" ht="15" customHeight="1">
      <c r="A52" s="1"/>
      <c r="J52" s="1"/>
    </row>
    <row r="53" spans="1:10" ht="15" customHeight="1">
      <c r="A53" s="1"/>
      <c r="J53" s="1"/>
    </row>
    <row r="54" spans="1:10" ht="15" customHeight="1">
      <c r="A54" s="1"/>
      <c r="J54" s="1"/>
    </row>
    <row r="55" spans="1:10" ht="15" customHeight="1">
      <c r="A55" s="1"/>
      <c r="J55" s="1"/>
    </row>
    <row r="56" ht="15" customHeight="1">
      <c r="A56" s="1"/>
    </row>
    <row r="57" ht="15" customHeight="1">
      <c r="A57" s="1"/>
    </row>
    <row r="58" spans="1:9" ht="15" customHeight="1">
      <c r="A58" s="41"/>
      <c r="B58" s="42"/>
      <c r="C58" s="44"/>
      <c r="D58" s="42"/>
      <c r="E58" s="44"/>
      <c r="F58" s="42"/>
      <c r="G58" s="44"/>
      <c r="H58" s="47"/>
      <c r="I58" s="47"/>
    </row>
    <row r="59" spans="1:9" ht="15" customHeight="1">
      <c r="A59" s="41"/>
      <c r="B59" s="42"/>
      <c r="C59" s="44"/>
      <c r="D59" s="42"/>
      <c r="E59" s="44"/>
      <c r="F59" s="42"/>
      <c r="G59" s="44"/>
      <c r="H59" s="47"/>
      <c r="I59" s="47"/>
    </row>
    <row r="60" spans="1:9" ht="15" customHeight="1">
      <c r="A60" s="41"/>
      <c r="B60" s="42"/>
      <c r="C60" s="44"/>
      <c r="D60" s="42"/>
      <c r="E60" s="44"/>
      <c r="F60" s="42"/>
      <c r="G60" s="44"/>
      <c r="H60" s="47"/>
      <c r="I60" s="47"/>
    </row>
    <row r="61" spans="1:9" ht="15" customHeight="1">
      <c r="A61" s="41"/>
      <c r="B61" s="42"/>
      <c r="C61" s="44"/>
      <c r="D61" s="42"/>
      <c r="E61" s="44"/>
      <c r="F61" s="42"/>
      <c r="G61" s="44"/>
      <c r="H61" s="47"/>
      <c r="I61" s="47"/>
    </row>
    <row r="62" spans="1:9" ht="15" customHeight="1">
      <c r="A62" s="41"/>
      <c r="B62" s="42"/>
      <c r="C62" s="44"/>
      <c r="D62" s="42"/>
      <c r="E62" s="44"/>
      <c r="F62" s="42"/>
      <c r="G62" s="44"/>
      <c r="H62" s="47"/>
      <c r="I62" s="47"/>
    </row>
    <row r="63" spans="1:9" ht="15" customHeight="1">
      <c r="A63" s="41"/>
      <c r="B63" s="42"/>
      <c r="C63" s="44"/>
      <c r="D63" s="42"/>
      <c r="E63" s="44"/>
      <c r="F63" s="42"/>
      <c r="G63" s="44"/>
      <c r="H63" s="47"/>
      <c r="I63" s="47"/>
    </row>
    <row r="64" spans="1:9" ht="15" customHeight="1">
      <c r="A64" s="41"/>
      <c r="B64" s="42"/>
      <c r="C64" s="44"/>
      <c r="D64" s="42"/>
      <c r="E64" s="44"/>
      <c r="F64" s="42"/>
      <c r="G64" s="44"/>
      <c r="H64" s="47"/>
      <c r="I64" s="47"/>
    </row>
    <row r="65" spans="1:9" ht="15" customHeight="1">
      <c r="A65" s="41"/>
      <c r="B65" s="42"/>
      <c r="C65" s="44"/>
      <c r="D65" s="42"/>
      <c r="E65" s="44"/>
      <c r="F65" s="42"/>
      <c r="G65" s="44"/>
      <c r="H65" s="47"/>
      <c r="I65" s="47"/>
    </row>
    <row r="66" spans="1:9" ht="15" customHeight="1">
      <c r="A66" s="41"/>
      <c r="B66" s="42"/>
      <c r="C66" s="44"/>
      <c r="D66" s="42"/>
      <c r="E66" s="44"/>
      <c r="F66" s="42"/>
      <c r="G66" s="44"/>
      <c r="H66" s="47"/>
      <c r="I66" s="47"/>
    </row>
    <row r="67" spans="1:9" ht="15" customHeight="1">
      <c r="A67" s="41"/>
      <c r="B67" s="42"/>
      <c r="C67" s="44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4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4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4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4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4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4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4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4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4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4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4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4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4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4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4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4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4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4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4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4"/>
      <c r="D89" s="42"/>
      <c r="E89" s="44"/>
      <c r="F89" s="42"/>
      <c r="G89" s="44"/>
      <c r="H89" s="47"/>
      <c r="I89" s="47"/>
    </row>
    <row r="90" spans="1:9" ht="15" customHeight="1">
      <c r="A90" s="41"/>
      <c r="B90" s="42"/>
      <c r="C90" s="44"/>
      <c r="D90" s="42"/>
      <c r="E90" s="44"/>
      <c r="F90" s="42"/>
      <c r="G90" s="44"/>
      <c r="H90" s="47"/>
      <c r="I90" s="47"/>
    </row>
    <row r="91" spans="1:9" ht="15" customHeight="1">
      <c r="A91" s="41"/>
      <c r="B91" s="42"/>
      <c r="C91" s="44"/>
      <c r="D91" s="42"/>
      <c r="E91" s="44"/>
      <c r="F91" s="42"/>
      <c r="G91" s="44"/>
      <c r="H91" s="47"/>
      <c r="I91" s="47"/>
    </row>
    <row r="92" spans="1:9" ht="15" customHeight="1">
      <c r="A92" s="41"/>
      <c r="B92" s="42"/>
      <c r="C92" s="44"/>
      <c r="D92" s="42"/>
      <c r="E92" s="44"/>
      <c r="F92" s="42"/>
      <c r="G92" s="44"/>
      <c r="H92" s="47"/>
      <c r="I92" s="47"/>
    </row>
    <row r="93" spans="1:9" ht="15" customHeight="1">
      <c r="A93" s="41"/>
      <c r="B93" s="42"/>
      <c r="C93" s="44"/>
      <c r="D93" s="42"/>
      <c r="E93" s="44"/>
      <c r="F93" s="42"/>
      <c r="G93" s="44"/>
      <c r="H93" s="47"/>
      <c r="I93" s="47"/>
    </row>
    <row r="94" spans="1:9" ht="15" customHeight="1">
      <c r="A94" s="41"/>
      <c r="B94" s="42"/>
      <c r="C94" s="44"/>
      <c r="D94" s="42"/>
      <c r="E94" s="44"/>
      <c r="F94" s="42"/>
      <c r="G94" s="44"/>
      <c r="H94" s="47"/>
      <c r="I94" s="47"/>
    </row>
    <row r="95" spans="1:9" ht="15" customHeight="1">
      <c r="A95" s="41"/>
      <c r="B95" s="42"/>
      <c r="C95" s="44"/>
      <c r="D95" s="42"/>
      <c r="E95" s="44"/>
      <c r="F95" s="42"/>
      <c r="G95" s="44"/>
      <c r="H95" s="47"/>
      <c r="I95" s="47"/>
    </row>
    <row r="96" spans="1:9" ht="15" customHeight="1">
      <c r="A96" s="41"/>
      <c r="B96" s="42"/>
      <c r="C96" s="44"/>
      <c r="D96" s="42"/>
      <c r="E96" s="44"/>
      <c r="F96" s="42"/>
      <c r="G96" s="44"/>
      <c r="H96" s="47"/>
      <c r="I96" s="47"/>
    </row>
    <row r="97" spans="1:9" ht="15" customHeight="1">
      <c r="A97" s="41"/>
      <c r="B97" s="42"/>
      <c r="C97" s="44"/>
      <c r="D97" s="42"/>
      <c r="E97" s="44"/>
      <c r="F97" s="42"/>
      <c r="G97" s="44"/>
      <c r="H97" s="47"/>
      <c r="I97" s="47"/>
    </row>
  </sheetData>
  <sheetProtection/>
  <printOptions/>
  <pageMargins left="0.7" right="0.7" top="0.83" bottom="0.75" header="0.3" footer="0.3"/>
  <pageSetup horizontalDpi="600" verticalDpi="600" orientation="portrait" scale="85" r:id="rId1"/>
  <headerFooter>
    <oddHeader>&amp;RProduce Brokers Limited
1349/A, North Agrabad, D.T. Road Askarabad (1st floor)
Chattogram-4224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9.140625" style="378" customWidth="1"/>
    <col min="2" max="2" width="7.28125" style="31" customWidth="1"/>
    <col min="3" max="3" width="11.57421875" style="360" customWidth="1"/>
    <col min="4" max="4" width="5.8515625" style="31" customWidth="1"/>
    <col min="5" max="5" width="10.57421875" style="244" customWidth="1"/>
    <col min="6" max="6" width="7.57421875" style="31" customWidth="1"/>
    <col min="7" max="7" width="11.28125" style="360" customWidth="1"/>
    <col min="8" max="8" width="14.421875" style="48" customWidth="1"/>
    <col min="9" max="9" width="9.7109375" style="48" customWidth="1"/>
    <col min="10" max="14" width="8.8515625" style="378" customWidth="1"/>
    <col min="15" max="15" width="12.7109375" style="378" bestFit="1" customWidth="1"/>
    <col min="16" max="16384" width="8.8515625" style="378" customWidth="1"/>
  </cols>
  <sheetData>
    <row r="1" spans="1:10" ht="18" customHeight="1">
      <c r="A1" s="683" t="s">
        <v>1558</v>
      </c>
      <c r="B1" s="684"/>
      <c r="C1" s="685"/>
      <c r="D1" s="684"/>
      <c r="E1" s="686"/>
      <c r="F1" s="684"/>
      <c r="G1" s="685"/>
      <c r="H1" s="687"/>
      <c r="I1" s="687"/>
      <c r="J1" s="262"/>
    </row>
    <row r="2" spans="1:10" ht="18" customHeight="1">
      <c r="A2" s="683" t="s">
        <v>1559</v>
      </c>
      <c r="B2" s="684"/>
      <c r="C2" s="685"/>
      <c r="D2" s="684"/>
      <c r="E2" s="686"/>
      <c r="F2" s="684"/>
      <c r="G2" s="685"/>
      <c r="H2" s="687"/>
      <c r="I2" s="687"/>
      <c r="J2" s="262"/>
    </row>
    <row r="3" spans="1:10" ht="18" customHeight="1">
      <c r="A3" s="683" t="s">
        <v>110</v>
      </c>
      <c r="B3" s="684"/>
      <c r="C3" s="685"/>
      <c r="D3" s="684"/>
      <c r="E3" s="686"/>
      <c r="F3" s="684"/>
      <c r="G3" s="685"/>
      <c r="H3" s="687"/>
      <c r="I3" s="687"/>
      <c r="J3" s="262"/>
    </row>
    <row r="4" spans="1:10" ht="18" customHeight="1">
      <c r="A4" s="683" t="s">
        <v>5</v>
      </c>
      <c r="B4" s="684"/>
      <c r="C4" s="685"/>
      <c r="D4" s="684"/>
      <c r="E4" s="686"/>
      <c r="F4" s="684"/>
      <c r="G4" s="685"/>
      <c r="H4" s="687"/>
      <c r="I4" s="687"/>
      <c r="J4" s="262"/>
    </row>
    <row r="5" spans="1:10" ht="18" customHeight="1">
      <c r="A5" s="683" t="s">
        <v>6</v>
      </c>
      <c r="B5" s="684"/>
      <c r="C5" s="685"/>
      <c r="D5" s="684"/>
      <c r="E5" s="688"/>
      <c r="F5" s="684"/>
      <c r="G5" s="685"/>
      <c r="H5" s="687"/>
      <c r="I5" s="687"/>
      <c r="J5" s="262"/>
    </row>
    <row r="6" spans="1:10" ht="18" customHeight="1">
      <c r="A6" s="683" t="s">
        <v>111</v>
      </c>
      <c r="B6" s="684"/>
      <c r="C6" s="685"/>
      <c r="D6" s="684"/>
      <c r="E6" s="686"/>
      <c r="F6" s="684"/>
      <c r="G6" s="685"/>
      <c r="H6" s="687"/>
      <c r="I6" s="687"/>
      <c r="J6" s="262"/>
    </row>
    <row r="7" spans="1:10" ht="18" customHeight="1">
      <c r="A7" s="683" t="s">
        <v>112</v>
      </c>
      <c r="B7" s="684"/>
      <c r="C7" s="685"/>
      <c r="D7" s="684"/>
      <c r="E7" s="689" t="s">
        <v>113</v>
      </c>
      <c r="F7" s="684"/>
      <c r="G7" s="685"/>
      <c r="H7" s="687"/>
      <c r="I7" s="687"/>
      <c r="J7" s="262"/>
    </row>
    <row r="8" spans="1:10" ht="18" customHeight="1">
      <c r="A8" s="690" t="s">
        <v>1560</v>
      </c>
      <c r="B8" s="691"/>
      <c r="C8" s="692"/>
      <c r="D8" s="691"/>
      <c r="E8" s="693"/>
      <c r="F8" s="691"/>
      <c r="G8" s="692"/>
      <c r="H8" s="694"/>
      <c r="I8" s="694"/>
      <c r="J8" s="262"/>
    </row>
    <row r="9" spans="1:10" ht="18" customHeight="1">
      <c r="A9" s="262"/>
      <c r="B9" s="695" t="s">
        <v>45</v>
      </c>
      <c r="C9" s="696"/>
      <c r="D9" s="695" t="s">
        <v>46</v>
      </c>
      <c r="E9" s="696"/>
      <c r="F9" s="695"/>
      <c r="G9" s="697" t="s">
        <v>47</v>
      </c>
      <c r="H9" s="698"/>
      <c r="I9" s="698"/>
      <c r="J9" s="262"/>
    </row>
    <row r="10" spans="1:10" ht="18" customHeight="1">
      <c r="A10" s="699" t="s">
        <v>461</v>
      </c>
      <c r="B10" s="700" t="s">
        <v>49</v>
      </c>
      <c r="C10" s="701" t="s">
        <v>50</v>
      </c>
      <c r="D10" s="700" t="s">
        <v>49</v>
      </c>
      <c r="E10" s="701" t="s">
        <v>50</v>
      </c>
      <c r="F10" s="700" t="s">
        <v>49</v>
      </c>
      <c r="G10" s="701" t="s">
        <v>50</v>
      </c>
      <c r="H10" s="702" t="s">
        <v>51</v>
      </c>
      <c r="I10" s="702" t="s">
        <v>52</v>
      </c>
      <c r="J10" s="262"/>
    </row>
    <row r="11" spans="1:10" ht="18" customHeight="1">
      <c r="A11" s="706" t="s">
        <v>71</v>
      </c>
      <c r="B11" s="695">
        <v>320</v>
      </c>
      <c r="C11" s="697">
        <v>15926.5</v>
      </c>
      <c r="D11" s="695">
        <v>0</v>
      </c>
      <c r="E11" s="697">
        <v>0</v>
      </c>
      <c r="F11" s="695">
        <v>320</v>
      </c>
      <c r="G11" s="697">
        <v>15926.5</v>
      </c>
      <c r="H11" s="707" t="s">
        <v>1577</v>
      </c>
      <c r="I11" s="707">
        <v>99.66</v>
      </c>
      <c r="J11" s="262"/>
    </row>
    <row r="12" spans="1:10" ht="18" customHeight="1">
      <c r="A12" s="706" t="s">
        <v>578</v>
      </c>
      <c r="B12" s="703">
        <v>50</v>
      </c>
      <c r="C12" s="704">
        <v>2488</v>
      </c>
      <c r="D12" s="703">
        <v>0</v>
      </c>
      <c r="E12" s="704">
        <v>0</v>
      </c>
      <c r="F12" s="703">
        <v>50</v>
      </c>
      <c r="G12" s="704">
        <v>2488</v>
      </c>
      <c r="H12" s="705" t="s">
        <v>1594</v>
      </c>
      <c r="I12" s="705">
        <v>81.59</v>
      </c>
      <c r="J12" s="262"/>
    </row>
    <row r="13" spans="1:10" ht="18" customHeight="1">
      <c r="A13" s="262" t="s">
        <v>14</v>
      </c>
      <c r="B13" s="703">
        <f aca="true" t="shared" si="0" ref="B13:G13">SUM(B11:B12)</f>
        <v>370</v>
      </c>
      <c r="C13" s="704">
        <f t="shared" si="0"/>
        <v>18414.5</v>
      </c>
      <c r="D13" s="703">
        <f t="shared" si="0"/>
        <v>0</v>
      </c>
      <c r="E13" s="704">
        <f t="shared" si="0"/>
        <v>0</v>
      </c>
      <c r="F13" s="703">
        <f t="shared" si="0"/>
        <v>370</v>
      </c>
      <c r="G13" s="704">
        <f t="shared" si="0"/>
        <v>18414.5</v>
      </c>
      <c r="H13" s="705">
        <f>1587306.5+202998</f>
        <v>1790304.5</v>
      </c>
      <c r="I13" s="705">
        <f>H13/G13</f>
        <v>97.22254201851801</v>
      </c>
      <c r="J13" s="262"/>
    </row>
    <row r="14" spans="1:10" ht="18" customHeight="1">
      <c r="A14" s="699" t="s">
        <v>462</v>
      </c>
      <c r="B14" s="700" t="s">
        <v>49</v>
      </c>
      <c r="C14" s="701" t="s">
        <v>50</v>
      </c>
      <c r="D14" s="700" t="s">
        <v>49</v>
      </c>
      <c r="E14" s="701" t="s">
        <v>50</v>
      </c>
      <c r="F14" s="700" t="s">
        <v>49</v>
      </c>
      <c r="G14" s="701" t="s">
        <v>50</v>
      </c>
      <c r="H14" s="702" t="s">
        <v>51</v>
      </c>
      <c r="I14" s="702" t="s">
        <v>52</v>
      </c>
      <c r="J14" s="262"/>
    </row>
    <row r="15" spans="1:10" ht="18" customHeight="1">
      <c r="A15" s="706" t="s">
        <v>53</v>
      </c>
      <c r="B15" s="695">
        <v>815</v>
      </c>
      <c r="C15" s="697">
        <v>40585.5</v>
      </c>
      <c r="D15" s="695">
        <v>0</v>
      </c>
      <c r="E15" s="697">
        <v>0</v>
      </c>
      <c r="F15" s="695">
        <v>815</v>
      </c>
      <c r="G15" s="697">
        <v>40585.5</v>
      </c>
      <c r="H15" s="707" t="s">
        <v>1561</v>
      </c>
      <c r="I15" s="707">
        <v>108.24</v>
      </c>
      <c r="J15" s="262"/>
    </row>
    <row r="16" spans="1:10" ht="18" customHeight="1">
      <c r="A16" s="706" t="s">
        <v>322</v>
      </c>
      <c r="B16" s="695">
        <v>40</v>
      </c>
      <c r="C16" s="697">
        <v>1990</v>
      </c>
      <c r="D16" s="695">
        <v>60</v>
      </c>
      <c r="E16" s="697">
        <v>2986.4</v>
      </c>
      <c r="F16" s="695">
        <v>100</v>
      </c>
      <c r="G16" s="697">
        <v>4976.4</v>
      </c>
      <c r="H16" s="707" t="s">
        <v>1562</v>
      </c>
      <c r="I16" s="707">
        <v>107.2</v>
      </c>
      <c r="J16" s="262"/>
    </row>
    <row r="17" spans="1:10" ht="18" customHeight="1">
      <c r="A17" s="706" t="s">
        <v>55</v>
      </c>
      <c r="B17" s="695">
        <v>20</v>
      </c>
      <c r="C17" s="697">
        <v>994</v>
      </c>
      <c r="D17" s="695">
        <v>0</v>
      </c>
      <c r="E17" s="697">
        <v>0</v>
      </c>
      <c r="F17" s="695">
        <v>20</v>
      </c>
      <c r="G17" s="697">
        <v>994</v>
      </c>
      <c r="H17" s="707" t="s">
        <v>1563</v>
      </c>
      <c r="I17" s="707">
        <v>220</v>
      </c>
      <c r="J17" s="262"/>
    </row>
    <row r="18" spans="1:10" ht="18" customHeight="1">
      <c r="A18" s="706" t="s">
        <v>168</v>
      </c>
      <c r="B18" s="695">
        <v>40</v>
      </c>
      <c r="C18" s="697">
        <v>1992.5</v>
      </c>
      <c r="D18" s="695">
        <v>0</v>
      </c>
      <c r="E18" s="697">
        <v>0</v>
      </c>
      <c r="F18" s="695">
        <v>40</v>
      </c>
      <c r="G18" s="697">
        <v>1992.5</v>
      </c>
      <c r="H18" s="707" t="s">
        <v>1564</v>
      </c>
      <c r="I18" s="707">
        <v>217.99</v>
      </c>
      <c r="J18" s="262"/>
    </row>
    <row r="19" spans="1:10" ht="18" customHeight="1">
      <c r="A19" s="706" t="s">
        <v>469</v>
      </c>
      <c r="B19" s="708"/>
      <c r="C19" s="697">
        <v>0</v>
      </c>
      <c r="D19" s="695">
        <v>25</v>
      </c>
      <c r="E19" s="697">
        <v>1246.8</v>
      </c>
      <c r="F19" s="695">
        <v>25</v>
      </c>
      <c r="G19" s="697">
        <v>1246.8</v>
      </c>
      <c r="H19" s="707" t="s">
        <v>1565</v>
      </c>
      <c r="I19" s="707">
        <v>105.79</v>
      </c>
      <c r="J19" s="262"/>
    </row>
    <row r="20" spans="1:10" ht="18" customHeight="1">
      <c r="A20" s="706" t="s">
        <v>128</v>
      </c>
      <c r="B20" s="695">
        <v>125</v>
      </c>
      <c r="C20" s="697">
        <v>6236.5</v>
      </c>
      <c r="D20" s="695">
        <v>0</v>
      </c>
      <c r="E20" s="697">
        <v>0</v>
      </c>
      <c r="F20" s="695">
        <v>125</v>
      </c>
      <c r="G20" s="697">
        <v>6236.5</v>
      </c>
      <c r="H20" s="707" t="s">
        <v>1566</v>
      </c>
      <c r="I20" s="707">
        <v>170.31</v>
      </c>
      <c r="J20" s="262"/>
    </row>
    <row r="21" spans="1:10" ht="18" customHeight="1">
      <c r="A21" s="706" t="s">
        <v>171</v>
      </c>
      <c r="B21" s="708"/>
      <c r="C21" s="697">
        <v>0</v>
      </c>
      <c r="D21" s="695">
        <v>80</v>
      </c>
      <c r="E21" s="697">
        <v>3993.6</v>
      </c>
      <c r="F21" s="695">
        <v>80</v>
      </c>
      <c r="G21" s="697">
        <v>3993.6</v>
      </c>
      <c r="H21" s="707" t="s">
        <v>1567</v>
      </c>
      <c r="I21" s="707">
        <v>103.75</v>
      </c>
      <c r="J21" s="262"/>
    </row>
    <row r="22" spans="1:10" ht="18" customHeight="1">
      <c r="A22" s="706" t="s">
        <v>1399</v>
      </c>
      <c r="B22" s="708"/>
      <c r="C22" s="697">
        <v>0</v>
      </c>
      <c r="D22" s="695">
        <v>30</v>
      </c>
      <c r="E22" s="697">
        <v>1496.8</v>
      </c>
      <c r="F22" s="695">
        <v>30</v>
      </c>
      <c r="G22" s="697">
        <v>1496.8</v>
      </c>
      <c r="H22" s="707" t="s">
        <v>1568</v>
      </c>
      <c r="I22" s="707">
        <v>154.33</v>
      </c>
      <c r="J22" s="262"/>
    </row>
    <row r="23" spans="1:10" ht="18" customHeight="1">
      <c r="A23" s="706" t="s">
        <v>57</v>
      </c>
      <c r="B23" s="695">
        <v>220</v>
      </c>
      <c r="C23" s="697">
        <v>10949</v>
      </c>
      <c r="D23" s="695">
        <v>0</v>
      </c>
      <c r="E23" s="697">
        <v>0</v>
      </c>
      <c r="F23" s="695">
        <v>220</v>
      </c>
      <c r="G23" s="697">
        <v>10949</v>
      </c>
      <c r="H23" s="707" t="s">
        <v>1569</v>
      </c>
      <c r="I23" s="707">
        <v>107.99</v>
      </c>
      <c r="J23" s="262"/>
    </row>
    <row r="24" spans="1:10" ht="18" customHeight="1">
      <c r="A24" s="706" t="s">
        <v>205</v>
      </c>
      <c r="B24" s="695">
        <v>30</v>
      </c>
      <c r="C24" s="697">
        <v>1495.5</v>
      </c>
      <c r="D24" s="695">
        <v>0</v>
      </c>
      <c r="E24" s="697">
        <v>0</v>
      </c>
      <c r="F24" s="695">
        <v>30</v>
      </c>
      <c r="G24" s="697">
        <v>1495.5</v>
      </c>
      <c r="H24" s="707" t="s">
        <v>1570</v>
      </c>
      <c r="I24" s="707">
        <v>127</v>
      </c>
      <c r="J24" s="262"/>
    </row>
    <row r="25" spans="1:10" ht="18" customHeight="1">
      <c r="A25" s="706" t="s">
        <v>174</v>
      </c>
      <c r="B25" s="695">
        <v>120</v>
      </c>
      <c r="C25" s="697">
        <v>5968.5</v>
      </c>
      <c r="D25" s="695">
        <v>0</v>
      </c>
      <c r="E25" s="697">
        <v>0</v>
      </c>
      <c r="F25" s="695">
        <v>120</v>
      </c>
      <c r="G25" s="697">
        <v>5968.5</v>
      </c>
      <c r="H25" s="707" t="s">
        <v>1571</v>
      </c>
      <c r="I25" s="707">
        <v>128.99</v>
      </c>
      <c r="J25" s="262"/>
    </row>
    <row r="26" spans="1:10" ht="18" customHeight="1">
      <c r="A26" s="706" t="s">
        <v>1572</v>
      </c>
      <c r="B26" s="695">
        <v>10</v>
      </c>
      <c r="C26" s="697">
        <v>500</v>
      </c>
      <c r="D26" s="695">
        <v>0</v>
      </c>
      <c r="E26" s="697">
        <v>0</v>
      </c>
      <c r="F26" s="695">
        <v>10</v>
      </c>
      <c r="G26" s="697">
        <v>500</v>
      </c>
      <c r="H26" s="707">
        <v>81500</v>
      </c>
      <c r="I26" s="707">
        <v>163</v>
      </c>
      <c r="J26" s="262"/>
    </row>
    <row r="27" spans="1:10" ht="18" customHeight="1">
      <c r="A27" s="706" t="s">
        <v>176</v>
      </c>
      <c r="B27" s="695">
        <v>140</v>
      </c>
      <c r="C27" s="697">
        <v>6976</v>
      </c>
      <c r="D27" s="695">
        <v>70</v>
      </c>
      <c r="E27" s="697">
        <v>3490.4</v>
      </c>
      <c r="F27" s="695">
        <v>210</v>
      </c>
      <c r="G27" s="697">
        <v>10466.4</v>
      </c>
      <c r="H27" s="707" t="s">
        <v>1573</v>
      </c>
      <c r="I27" s="707">
        <v>151.24</v>
      </c>
      <c r="J27" s="262"/>
    </row>
    <row r="28" spans="1:10" ht="18" customHeight="1">
      <c r="A28" s="706" t="s">
        <v>475</v>
      </c>
      <c r="B28" s="695">
        <v>145</v>
      </c>
      <c r="C28" s="697">
        <v>7226</v>
      </c>
      <c r="D28" s="695">
        <v>0</v>
      </c>
      <c r="E28" s="697">
        <v>0</v>
      </c>
      <c r="F28" s="695">
        <v>145</v>
      </c>
      <c r="G28" s="697">
        <v>7226</v>
      </c>
      <c r="H28" s="707" t="s">
        <v>1574</v>
      </c>
      <c r="I28" s="707">
        <v>180.31</v>
      </c>
      <c r="J28" s="262"/>
    </row>
    <row r="29" spans="1:10" ht="18" customHeight="1">
      <c r="A29" s="706" t="s">
        <v>1040</v>
      </c>
      <c r="B29" s="708"/>
      <c r="C29" s="697">
        <v>0</v>
      </c>
      <c r="D29" s="695">
        <v>10</v>
      </c>
      <c r="E29" s="697">
        <v>499.2</v>
      </c>
      <c r="F29" s="695">
        <v>10</v>
      </c>
      <c r="G29" s="697">
        <v>499.2</v>
      </c>
      <c r="H29" s="707">
        <v>33446.4</v>
      </c>
      <c r="I29" s="707">
        <v>67</v>
      </c>
      <c r="J29" s="262"/>
    </row>
    <row r="30" spans="1:10" ht="18" customHeight="1">
      <c r="A30" s="706" t="s">
        <v>63</v>
      </c>
      <c r="B30" s="695">
        <v>1</v>
      </c>
      <c r="C30" s="697">
        <v>20</v>
      </c>
      <c r="D30" s="695">
        <v>0</v>
      </c>
      <c r="E30" s="697">
        <v>0</v>
      </c>
      <c r="F30" s="695">
        <v>1</v>
      </c>
      <c r="G30" s="697">
        <v>20</v>
      </c>
      <c r="H30" s="707">
        <v>14200</v>
      </c>
      <c r="I30" s="707">
        <v>710</v>
      </c>
      <c r="J30" s="262"/>
    </row>
    <row r="31" spans="1:10" ht="18" customHeight="1">
      <c r="A31" s="706" t="s">
        <v>872</v>
      </c>
      <c r="B31" s="708"/>
      <c r="C31" s="697">
        <v>0</v>
      </c>
      <c r="D31" s="695">
        <v>20</v>
      </c>
      <c r="E31" s="697">
        <v>993.6</v>
      </c>
      <c r="F31" s="695">
        <v>20</v>
      </c>
      <c r="G31" s="697">
        <v>993.6</v>
      </c>
      <c r="H31" s="707">
        <v>69552</v>
      </c>
      <c r="I31" s="707">
        <v>70</v>
      </c>
      <c r="J31" s="262"/>
    </row>
    <row r="32" spans="1:10" ht="18" customHeight="1">
      <c r="A32" s="706" t="s">
        <v>329</v>
      </c>
      <c r="B32" s="708"/>
      <c r="C32" s="697">
        <v>0</v>
      </c>
      <c r="D32" s="695">
        <v>10</v>
      </c>
      <c r="E32" s="697">
        <v>499.2</v>
      </c>
      <c r="F32" s="695">
        <v>10</v>
      </c>
      <c r="G32" s="697">
        <v>499.2</v>
      </c>
      <c r="H32" s="707" t="s">
        <v>1268</v>
      </c>
      <c r="I32" s="707">
        <v>210</v>
      </c>
      <c r="J32" s="262"/>
    </row>
    <row r="33" spans="1:10" ht="18" customHeight="1">
      <c r="A33" s="706" t="s">
        <v>67</v>
      </c>
      <c r="B33" s="695">
        <v>60</v>
      </c>
      <c r="C33" s="697">
        <v>2998.5</v>
      </c>
      <c r="D33" s="695">
        <v>10</v>
      </c>
      <c r="E33" s="697">
        <v>499.2</v>
      </c>
      <c r="F33" s="695">
        <v>70</v>
      </c>
      <c r="G33" s="697">
        <v>3497.7</v>
      </c>
      <c r="H33" s="707" t="s">
        <v>1575</v>
      </c>
      <c r="I33" s="707">
        <v>181.01</v>
      </c>
      <c r="J33" s="262"/>
    </row>
    <row r="34" spans="1:10" ht="18" customHeight="1">
      <c r="A34" s="706" t="s">
        <v>69</v>
      </c>
      <c r="B34" s="695">
        <v>400</v>
      </c>
      <c r="C34" s="697">
        <v>19884</v>
      </c>
      <c r="D34" s="695">
        <v>10</v>
      </c>
      <c r="E34" s="697">
        <v>497.2</v>
      </c>
      <c r="F34" s="695">
        <v>410</v>
      </c>
      <c r="G34" s="697">
        <v>20381.2</v>
      </c>
      <c r="H34" s="707" t="s">
        <v>1576</v>
      </c>
      <c r="I34" s="707">
        <v>84.66</v>
      </c>
      <c r="J34" s="262"/>
    </row>
    <row r="35" spans="1:10" ht="18" customHeight="1">
      <c r="A35" s="706" t="s">
        <v>71</v>
      </c>
      <c r="B35" s="695">
        <v>1105</v>
      </c>
      <c r="C35" s="697">
        <v>55119</v>
      </c>
      <c r="D35" s="695">
        <v>50</v>
      </c>
      <c r="E35" s="697">
        <v>2495.2</v>
      </c>
      <c r="F35" s="695">
        <v>1155</v>
      </c>
      <c r="G35" s="697">
        <v>57614.2</v>
      </c>
      <c r="H35" s="707" t="s">
        <v>1578</v>
      </c>
      <c r="I35" s="707">
        <v>160.44</v>
      </c>
      <c r="J35" s="262"/>
    </row>
    <row r="36" spans="1:10" ht="18" customHeight="1">
      <c r="A36" s="706" t="s">
        <v>648</v>
      </c>
      <c r="B36" s="695">
        <v>20</v>
      </c>
      <c r="C36" s="697">
        <v>997</v>
      </c>
      <c r="D36" s="695">
        <v>0</v>
      </c>
      <c r="E36" s="697">
        <v>0</v>
      </c>
      <c r="F36" s="695">
        <v>20</v>
      </c>
      <c r="G36" s="697">
        <v>997</v>
      </c>
      <c r="H36" s="707">
        <v>87748</v>
      </c>
      <c r="I36" s="707">
        <v>88.01</v>
      </c>
      <c r="J36" s="262"/>
    </row>
    <row r="37" spans="1:10" ht="18" customHeight="1">
      <c r="A37" s="706" t="s">
        <v>1019</v>
      </c>
      <c r="B37" s="695">
        <v>30</v>
      </c>
      <c r="C37" s="697">
        <v>1492.5</v>
      </c>
      <c r="D37" s="695">
        <v>0</v>
      </c>
      <c r="E37" s="697">
        <v>0</v>
      </c>
      <c r="F37" s="695">
        <v>30</v>
      </c>
      <c r="G37" s="697">
        <v>1492.5</v>
      </c>
      <c r="H37" s="707" t="s">
        <v>1579</v>
      </c>
      <c r="I37" s="707">
        <v>151.34</v>
      </c>
      <c r="J37" s="262"/>
    </row>
    <row r="38" spans="1:10" ht="18" customHeight="1">
      <c r="A38" s="706" t="s">
        <v>73</v>
      </c>
      <c r="B38" s="695">
        <v>50</v>
      </c>
      <c r="C38" s="697">
        <v>2491</v>
      </c>
      <c r="D38" s="695">
        <v>0</v>
      </c>
      <c r="E38" s="697">
        <v>0</v>
      </c>
      <c r="F38" s="695">
        <v>50</v>
      </c>
      <c r="G38" s="697">
        <v>2491</v>
      </c>
      <c r="H38" s="707" t="s">
        <v>1580</v>
      </c>
      <c r="I38" s="707">
        <v>180.76</v>
      </c>
      <c r="J38" s="262"/>
    </row>
    <row r="39" spans="1:10" ht="18" customHeight="1">
      <c r="A39" s="706" t="s">
        <v>75</v>
      </c>
      <c r="B39" s="695">
        <v>20</v>
      </c>
      <c r="C39" s="697">
        <v>994</v>
      </c>
      <c r="D39" s="695">
        <v>0</v>
      </c>
      <c r="E39" s="697">
        <v>0</v>
      </c>
      <c r="F39" s="695">
        <v>20</v>
      </c>
      <c r="G39" s="697">
        <v>994</v>
      </c>
      <c r="H39" s="707">
        <v>76081.5</v>
      </c>
      <c r="I39" s="707">
        <v>76.5407444668008</v>
      </c>
      <c r="J39" s="262"/>
    </row>
    <row r="40" spans="1:10" ht="18" customHeight="1">
      <c r="A40" s="706" t="s">
        <v>77</v>
      </c>
      <c r="B40" s="695">
        <v>30</v>
      </c>
      <c r="C40" s="697">
        <v>1492.5</v>
      </c>
      <c r="D40" s="695">
        <v>75</v>
      </c>
      <c r="E40" s="697">
        <v>3738</v>
      </c>
      <c r="F40" s="695">
        <v>105</v>
      </c>
      <c r="G40" s="697">
        <v>5230.5</v>
      </c>
      <c r="H40" s="707" t="s">
        <v>1581</v>
      </c>
      <c r="I40" s="707">
        <v>99.07</v>
      </c>
      <c r="J40" s="262"/>
    </row>
    <row r="41" spans="1:10" ht="18" customHeight="1">
      <c r="A41" s="706" t="s">
        <v>81</v>
      </c>
      <c r="B41" s="695">
        <v>160</v>
      </c>
      <c r="C41" s="697">
        <v>7970</v>
      </c>
      <c r="D41" s="695">
        <v>0</v>
      </c>
      <c r="E41" s="697">
        <v>0</v>
      </c>
      <c r="F41" s="695">
        <v>160</v>
      </c>
      <c r="G41" s="697">
        <v>7970</v>
      </c>
      <c r="H41" s="707">
        <v>771447.5</v>
      </c>
      <c r="I41" s="707">
        <v>96.7939146800502</v>
      </c>
      <c r="J41" s="262"/>
    </row>
    <row r="42" spans="1:10" ht="18" customHeight="1">
      <c r="A42" s="706" t="s">
        <v>83</v>
      </c>
      <c r="B42" s="695">
        <v>460</v>
      </c>
      <c r="C42" s="697">
        <v>22917.5</v>
      </c>
      <c r="D42" s="695">
        <v>10</v>
      </c>
      <c r="E42" s="697">
        <v>499.2</v>
      </c>
      <c r="F42" s="695">
        <v>470</v>
      </c>
      <c r="G42" s="697">
        <v>23416.7</v>
      </c>
      <c r="H42" s="707" t="s">
        <v>1582</v>
      </c>
      <c r="I42" s="707">
        <v>128.95</v>
      </c>
      <c r="J42" s="262"/>
    </row>
    <row r="43" spans="1:10" ht="18" customHeight="1">
      <c r="A43" s="706" t="s">
        <v>87</v>
      </c>
      <c r="B43" s="695">
        <v>10</v>
      </c>
      <c r="C43" s="697">
        <v>498.5</v>
      </c>
      <c r="D43" s="695">
        <v>0</v>
      </c>
      <c r="E43" s="697">
        <v>0</v>
      </c>
      <c r="F43" s="695">
        <v>10</v>
      </c>
      <c r="G43" s="697">
        <v>498.5</v>
      </c>
      <c r="H43" s="707" t="s">
        <v>1583</v>
      </c>
      <c r="I43" s="707">
        <v>203</v>
      </c>
      <c r="J43" s="262"/>
    </row>
    <row r="44" spans="1:10" ht="18" customHeight="1">
      <c r="A44" s="706" t="s">
        <v>150</v>
      </c>
      <c r="B44" s="695">
        <v>50</v>
      </c>
      <c r="C44" s="697">
        <v>2494</v>
      </c>
      <c r="D44" s="695">
        <v>20</v>
      </c>
      <c r="E44" s="697">
        <v>994.4</v>
      </c>
      <c r="F44" s="695">
        <v>70</v>
      </c>
      <c r="G44" s="697">
        <v>3488.4</v>
      </c>
      <c r="H44" s="707" t="s">
        <v>1584</v>
      </c>
      <c r="I44" s="707">
        <v>113.6</v>
      </c>
      <c r="J44" s="262"/>
    </row>
    <row r="45" spans="1:10" ht="18" customHeight="1">
      <c r="A45" s="706" t="s">
        <v>185</v>
      </c>
      <c r="B45" s="695">
        <v>10</v>
      </c>
      <c r="C45" s="697">
        <v>498.5</v>
      </c>
      <c r="D45" s="695">
        <v>0</v>
      </c>
      <c r="E45" s="697">
        <v>0</v>
      </c>
      <c r="F45" s="695">
        <v>10</v>
      </c>
      <c r="G45" s="697">
        <v>498.5</v>
      </c>
      <c r="H45" s="707">
        <v>44865</v>
      </c>
      <c r="I45" s="707">
        <v>90</v>
      </c>
      <c r="J45" s="262"/>
    </row>
    <row r="46" spans="1:10" ht="18" customHeight="1">
      <c r="A46" s="706" t="s">
        <v>185</v>
      </c>
      <c r="B46" s="695">
        <v>110</v>
      </c>
      <c r="C46" s="697">
        <v>5467</v>
      </c>
      <c r="D46" s="695">
        <v>0</v>
      </c>
      <c r="E46" s="697">
        <v>0</v>
      </c>
      <c r="F46" s="695">
        <v>110</v>
      </c>
      <c r="G46" s="697">
        <v>5467</v>
      </c>
      <c r="H46" s="707" t="s">
        <v>1585</v>
      </c>
      <c r="I46" s="707">
        <v>93.64</v>
      </c>
      <c r="J46" s="262"/>
    </row>
    <row r="47" spans="1:10" ht="18" customHeight="1">
      <c r="A47" s="706" t="s">
        <v>347</v>
      </c>
      <c r="B47" s="708"/>
      <c r="C47" s="697">
        <v>0</v>
      </c>
      <c r="D47" s="695">
        <v>60</v>
      </c>
      <c r="E47" s="697">
        <v>2992</v>
      </c>
      <c r="F47" s="695">
        <v>60</v>
      </c>
      <c r="G47" s="697">
        <v>2992</v>
      </c>
      <c r="H47" s="707" t="s">
        <v>1586</v>
      </c>
      <c r="I47" s="707">
        <v>128.44</v>
      </c>
      <c r="J47" s="262"/>
    </row>
    <row r="48" spans="1:10" ht="18" customHeight="1">
      <c r="A48" s="706" t="s">
        <v>155</v>
      </c>
      <c r="B48" s="695">
        <v>30</v>
      </c>
      <c r="C48" s="697">
        <v>1491</v>
      </c>
      <c r="D48" s="695">
        <v>0</v>
      </c>
      <c r="E48" s="697">
        <v>0</v>
      </c>
      <c r="F48" s="695">
        <v>30</v>
      </c>
      <c r="G48" s="697">
        <v>1491</v>
      </c>
      <c r="H48" s="707" t="s">
        <v>1587</v>
      </c>
      <c r="I48" s="707">
        <v>88.34</v>
      </c>
      <c r="J48" s="262"/>
    </row>
    <row r="49" spans="1:10" ht="18" customHeight="1">
      <c r="A49" s="706" t="s">
        <v>92</v>
      </c>
      <c r="B49" s="695">
        <v>10</v>
      </c>
      <c r="C49" s="697">
        <v>498.5</v>
      </c>
      <c r="D49" s="695">
        <v>0</v>
      </c>
      <c r="E49" s="697">
        <v>0</v>
      </c>
      <c r="F49" s="695">
        <v>10</v>
      </c>
      <c r="G49" s="697">
        <v>498.5</v>
      </c>
      <c r="H49" s="707">
        <v>67297.5</v>
      </c>
      <c r="I49" s="707">
        <v>135</v>
      </c>
      <c r="J49" s="262"/>
    </row>
    <row r="50" spans="1:10" ht="18" customHeight="1">
      <c r="A50" s="706" t="s">
        <v>229</v>
      </c>
      <c r="B50" s="695">
        <v>130</v>
      </c>
      <c r="C50" s="697">
        <v>6470</v>
      </c>
      <c r="D50" s="695">
        <v>0</v>
      </c>
      <c r="E50" s="697">
        <v>0</v>
      </c>
      <c r="F50" s="695">
        <v>130</v>
      </c>
      <c r="G50" s="697">
        <v>6470</v>
      </c>
      <c r="H50" s="707">
        <v>494292.5</v>
      </c>
      <c r="I50" s="707">
        <v>76.39760432766616</v>
      </c>
      <c r="J50" s="262"/>
    </row>
    <row r="51" spans="1:10" ht="18" customHeight="1">
      <c r="A51" s="706" t="s">
        <v>187</v>
      </c>
      <c r="B51" s="695">
        <v>280</v>
      </c>
      <c r="C51" s="697">
        <v>13926.5</v>
      </c>
      <c r="D51" s="695">
        <v>0</v>
      </c>
      <c r="E51" s="697">
        <v>0</v>
      </c>
      <c r="F51" s="695">
        <v>280</v>
      </c>
      <c r="G51" s="697">
        <v>13926.5</v>
      </c>
      <c r="H51" s="707">
        <v>1290972.5</v>
      </c>
      <c r="I51" s="707">
        <v>90.29</v>
      </c>
      <c r="J51" s="262"/>
    </row>
    <row r="52" spans="1:10" ht="18" customHeight="1">
      <c r="A52" s="706" t="s">
        <v>233</v>
      </c>
      <c r="B52" s="708"/>
      <c r="C52" s="697">
        <v>0</v>
      </c>
      <c r="D52" s="695">
        <v>10</v>
      </c>
      <c r="E52" s="697">
        <v>499.2</v>
      </c>
      <c r="F52" s="695">
        <v>10</v>
      </c>
      <c r="G52" s="697">
        <v>499.2</v>
      </c>
      <c r="H52" s="707">
        <v>35942.4</v>
      </c>
      <c r="I52" s="707">
        <v>72</v>
      </c>
      <c r="J52" s="262"/>
    </row>
    <row r="53" spans="1:10" ht="18" customHeight="1">
      <c r="A53" s="706" t="s">
        <v>190</v>
      </c>
      <c r="B53" s="695">
        <v>40</v>
      </c>
      <c r="C53" s="697">
        <v>1989.5</v>
      </c>
      <c r="D53" s="695">
        <v>10</v>
      </c>
      <c r="E53" s="697">
        <v>499.2</v>
      </c>
      <c r="F53" s="695">
        <v>50</v>
      </c>
      <c r="G53" s="697">
        <v>2488.7</v>
      </c>
      <c r="H53" s="707" t="s">
        <v>1588</v>
      </c>
      <c r="I53" s="707">
        <v>110.9</v>
      </c>
      <c r="J53" s="262"/>
    </row>
    <row r="54" spans="1:10" ht="18" customHeight="1">
      <c r="A54" s="706" t="s">
        <v>266</v>
      </c>
      <c r="B54" s="708"/>
      <c r="C54" s="697">
        <v>0</v>
      </c>
      <c r="D54" s="695">
        <v>140</v>
      </c>
      <c r="E54" s="697">
        <v>6987.2</v>
      </c>
      <c r="F54" s="695">
        <v>140</v>
      </c>
      <c r="G54" s="697">
        <v>6987.2</v>
      </c>
      <c r="H54" s="707" t="s">
        <v>1589</v>
      </c>
      <c r="I54" s="707">
        <v>101.36</v>
      </c>
      <c r="J54" s="262"/>
    </row>
    <row r="55" spans="1:10" ht="18" customHeight="1">
      <c r="A55" s="706" t="s">
        <v>96</v>
      </c>
      <c r="B55" s="695">
        <v>110</v>
      </c>
      <c r="C55" s="697">
        <v>5462.5</v>
      </c>
      <c r="D55" s="695">
        <v>0</v>
      </c>
      <c r="E55" s="697">
        <v>0</v>
      </c>
      <c r="F55" s="695">
        <v>110</v>
      </c>
      <c r="G55" s="697">
        <v>5462.5</v>
      </c>
      <c r="H55" s="707" t="s">
        <v>1590</v>
      </c>
      <c r="I55" s="707">
        <v>107.97</v>
      </c>
      <c r="J55" s="262"/>
    </row>
    <row r="56" spans="1:10" ht="18" customHeight="1">
      <c r="A56" s="706" t="s">
        <v>237</v>
      </c>
      <c r="B56" s="695">
        <v>45</v>
      </c>
      <c r="C56" s="697">
        <v>2250</v>
      </c>
      <c r="D56" s="695">
        <v>0</v>
      </c>
      <c r="E56" s="697">
        <v>0</v>
      </c>
      <c r="F56" s="695">
        <v>45</v>
      </c>
      <c r="G56" s="697">
        <v>2250</v>
      </c>
      <c r="H56" s="707" t="s">
        <v>1591</v>
      </c>
      <c r="I56" s="707">
        <v>177.67</v>
      </c>
      <c r="J56" s="262"/>
    </row>
    <row r="57" spans="1:10" ht="18" customHeight="1">
      <c r="A57" s="706" t="s">
        <v>99</v>
      </c>
      <c r="B57" s="695">
        <v>115</v>
      </c>
      <c r="C57" s="697">
        <v>5711</v>
      </c>
      <c r="D57" s="695">
        <v>0</v>
      </c>
      <c r="E57" s="697">
        <v>0</v>
      </c>
      <c r="F57" s="695">
        <v>115</v>
      </c>
      <c r="G57" s="697">
        <v>5711</v>
      </c>
      <c r="H57" s="707" t="s">
        <v>1592</v>
      </c>
      <c r="I57" s="707">
        <v>78.54</v>
      </c>
      <c r="J57" s="262"/>
    </row>
    <row r="58" spans="1:10" ht="18" customHeight="1">
      <c r="A58" s="706" t="s">
        <v>101</v>
      </c>
      <c r="B58" s="695">
        <v>60</v>
      </c>
      <c r="C58" s="697">
        <v>2988</v>
      </c>
      <c r="D58" s="695">
        <v>0</v>
      </c>
      <c r="E58" s="697">
        <v>0</v>
      </c>
      <c r="F58" s="695">
        <v>60</v>
      </c>
      <c r="G58" s="697">
        <v>2988</v>
      </c>
      <c r="H58" s="707" t="s">
        <v>1593</v>
      </c>
      <c r="I58" s="707">
        <v>106.17</v>
      </c>
      <c r="J58" s="262"/>
    </row>
    <row r="59" spans="1:10" ht="18" customHeight="1">
      <c r="A59" s="706" t="s">
        <v>14</v>
      </c>
      <c r="B59" s="709">
        <f aca="true" t="shared" si="1" ref="B59:G59">SUM(B15:B58)</f>
        <v>5041</v>
      </c>
      <c r="C59" s="710">
        <f t="shared" si="1"/>
        <v>251034.5</v>
      </c>
      <c r="D59" s="709">
        <f t="shared" si="1"/>
        <v>700</v>
      </c>
      <c r="E59" s="710">
        <f t="shared" si="1"/>
        <v>34906.8</v>
      </c>
      <c r="F59" s="709">
        <f t="shared" si="1"/>
        <v>5741</v>
      </c>
      <c r="G59" s="710">
        <f t="shared" si="1"/>
        <v>285941.3</v>
      </c>
      <c r="H59" s="376">
        <v>35700303.7</v>
      </c>
      <c r="I59" s="376">
        <f>H59/G59</f>
        <v>124.85186190312488</v>
      </c>
      <c r="J59" s="262"/>
    </row>
    <row r="60" spans="1:10" ht="18" customHeight="1">
      <c r="A60" s="706" t="s">
        <v>17</v>
      </c>
      <c r="B60" s="695">
        <v>5411</v>
      </c>
      <c r="C60" s="697" t="s">
        <v>1595</v>
      </c>
      <c r="D60" s="695">
        <v>700</v>
      </c>
      <c r="E60" s="697">
        <v>34906.8</v>
      </c>
      <c r="F60" s="695">
        <v>6111</v>
      </c>
      <c r="G60" s="697" t="s">
        <v>1596</v>
      </c>
      <c r="H60" s="707" t="s">
        <v>1597</v>
      </c>
      <c r="I60" s="707">
        <v>123.18</v>
      </c>
      <c r="J60" s="262"/>
    </row>
    <row r="61" spans="1:9" ht="18" customHeight="1">
      <c r="A61" s="711"/>
      <c r="B61" s="695"/>
      <c r="C61" s="697"/>
      <c r="D61" s="695"/>
      <c r="E61" s="697"/>
      <c r="F61" s="695"/>
      <c r="G61" s="697"/>
      <c r="H61" s="707"/>
      <c r="I61" s="707"/>
    </row>
    <row r="62" spans="1:9" ht="18" customHeight="1">
      <c r="A62" s="699"/>
      <c r="B62" s="709"/>
      <c r="C62" s="710"/>
      <c r="D62" s="709"/>
      <c r="E62" s="710"/>
      <c r="F62" s="709"/>
      <c r="G62" s="710"/>
      <c r="H62" s="712"/>
      <c r="I62" s="698" t="s">
        <v>119</v>
      </c>
    </row>
    <row r="63" spans="1:9" ht="18" customHeight="1">
      <c r="A63" s="699"/>
      <c r="B63" s="709"/>
      <c r="C63" s="696"/>
      <c r="D63" s="709"/>
      <c r="E63" s="710"/>
      <c r="F63" s="709"/>
      <c r="G63" s="710"/>
      <c r="H63" s="376"/>
      <c r="I63" s="713" t="s">
        <v>121</v>
      </c>
    </row>
    <row r="64" spans="1:9" ht="18" customHeight="1">
      <c r="A64" s="683" t="s">
        <v>117</v>
      </c>
      <c r="B64" s="709"/>
      <c r="C64" s="696"/>
      <c r="D64" s="709"/>
      <c r="E64" s="710"/>
      <c r="F64" s="709"/>
      <c r="G64" s="696"/>
      <c r="H64" s="698"/>
      <c r="I64" s="698"/>
    </row>
    <row r="65" spans="1:9" ht="18" customHeight="1">
      <c r="A65" s="683" t="s">
        <v>118</v>
      </c>
      <c r="B65" s="709"/>
      <c r="C65" s="696"/>
      <c r="D65" s="709"/>
      <c r="E65" s="710"/>
      <c r="F65" s="709"/>
      <c r="G65" s="696"/>
      <c r="H65" s="698"/>
      <c r="I65" s="698"/>
    </row>
    <row r="66" spans="1:9" ht="18" customHeight="1">
      <c r="A66" s="683" t="s">
        <v>120</v>
      </c>
      <c r="B66" s="709"/>
      <c r="C66" s="696"/>
      <c r="D66" s="709"/>
      <c r="E66" s="710"/>
      <c r="F66" s="709"/>
      <c r="G66" s="696"/>
      <c r="H66" s="698"/>
      <c r="I66" s="698"/>
    </row>
    <row r="67" spans="1:9" ht="18" customHeight="1">
      <c r="A67" s="683" t="s">
        <v>122</v>
      </c>
      <c r="B67" s="709"/>
      <c r="C67" s="696"/>
      <c r="D67" s="709"/>
      <c r="E67" s="710"/>
      <c r="F67" s="709"/>
      <c r="G67" s="696"/>
      <c r="H67" s="698"/>
      <c r="I67" s="698"/>
    </row>
    <row r="68" spans="1:9" ht="18" customHeight="1">
      <c r="A68" s="683" t="s">
        <v>123</v>
      </c>
      <c r="B68" s="709"/>
      <c r="C68" s="696"/>
      <c r="D68" s="709"/>
      <c r="E68" s="710"/>
      <c r="F68" s="709"/>
      <c r="G68" s="696"/>
      <c r="H68" s="698"/>
      <c r="I68" s="698"/>
    </row>
    <row r="69" spans="1:9" ht="18" customHeight="1">
      <c r="A69" s="274"/>
      <c r="B69" s="289"/>
      <c r="C69" s="276"/>
      <c r="D69" s="289"/>
      <c r="E69" s="290"/>
      <c r="F69" s="289"/>
      <c r="G69" s="276"/>
      <c r="H69" s="278"/>
      <c r="I69" s="278"/>
    </row>
    <row r="70" spans="1:9" ht="12.75" customHeight="1">
      <c r="A70" s="274"/>
      <c r="B70" s="289"/>
      <c r="C70" s="276"/>
      <c r="D70" s="289"/>
      <c r="E70" s="290"/>
      <c r="F70" s="289"/>
      <c r="G70" s="276"/>
      <c r="H70" s="278"/>
      <c r="I70" s="278"/>
    </row>
    <row r="71" spans="1:9" ht="12.75" customHeight="1">
      <c r="A71" s="509"/>
      <c r="B71" s="512"/>
      <c r="C71" s="510"/>
      <c r="D71" s="512"/>
      <c r="E71" s="513"/>
      <c r="F71" s="512"/>
      <c r="G71" s="510"/>
      <c r="H71" s="511"/>
      <c r="I71" s="511"/>
    </row>
    <row r="72" spans="1:9" ht="12.75" customHeight="1">
      <c r="A72" s="509"/>
      <c r="B72" s="512"/>
      <c r="C72" s="510"/>
      <c r="D72" s="512"/>
      <c r="E72" s="513"/>
      <c r="F72" s="512"/>
      <c r="G72" s="510"/>
      <c r="H72" s="511"/>
      <c r="I72" s="511"/>
    </row>
    <row r="73" spans="1:9" ht="12.75" customHeight="1">
      <c r="A73" s="509"/>
      <c r="B73" s="512"/>
      <c r="C73" s="510"/>
      <c r="D73" s="512"/>
      <c r="E73" s="513"/>
      <c r="F73" s="512"/>
      <c r="G73" s="510"/>
      <c r="H73" s="511"/>
      <c r="I73" s="511"/>
    </row>
    <row r="74" spans="1:9" ht="12.75" customHeight="1">
      <c r="A74" s="509"/>
      <c r="B74" s="512"/>
      <c r="C74" s="510"/>
      <c r="D74" s="512"/>
      <c r="E74" s="513"/>
      <c r="F74" s="512"/>
      <c r="G74" s="510"/>
      <c r="H74" s="511"/>
      <c r="I74" s="511"/>
    </row>
    <row r="75" spans="1:9" ht="12.75" customHeight="1">
      <c r="A75" s="509"/>
      <c r="B75" s="512"/>
      <c r="C75" s="510"/>
      <c r="D75" s="512"/>
      <c r="E75" s="513"/>
      <c r="F75" s="512"/>
      <c r="G75" s="510"/>
      <c r="H75" s="511"/>
      <c r="I75" s="511"/>
    </row>
    <row r="76" spans="1:9" ht="12.75" customHeight="1">
      <c r="A76" s="509"/>
      <c r="B76" s="512"/>
      <c r="C76" s="510"/>
      <c r="D76" s="512"/>
      <c r="E76" s="513"/>
      <c r="F76" s="512"/>
      <c r="G76" s="510"/>
      <c r="H76" s="511"/>
      <c r="I76" s="511"/>
    </row>
    <row r="77" spans="1:9" ht="12.75" customHeight="1">
      <c r="A77" s="509"/>
      <c r="B77" s="512"/>
      <c r="C77" s="510"/>
      <c r="D77" s="512"/>
      <c r="E77" s="513"/>
      <c r="F77" s="512"/>
      <c r="G77" s="510"/>
      <c r="H77" s="511"/>
      <c r="I77" s="511"/>
    </row>
    <row r="78" spans="1:9" ht="12.75" customHeight="1">
      <c r="A78" s="509"/>
      <c r="B78" s="512"/>
      <c r="C78" s="510"/>
      <c r="D78" s="512"/>
      <c r="E78" s="513"/>
      <c r="F78" s="512"/>
      <c r="G78" s="510"/>
      <c r="H78" s="511"/>
      <c r="I78" s="511"/>
    </row>
    <row r="79" spans="1:9" ht="12.75" customHeight="1">
      <c r="A79" s="509"/>
      <c r="B79" s="512"/>
      <c r="C79" s="510"/>
      <c r="D79" s="512"/>
      <c r="E79" s="513"/>
      <c r="F79" s="512"/>
      <c r="G79" s="510"/>
      <c r="H79" s="511"/>
      <c r="I79" s="511"/>
    </row>
    <row r="80" spans="1:9" ht="12.75" customHeight="1">
      <c r="A80" s="509"/>
      <c r="B80" s="512"/>
      <c r="C80" s="510"/>
      <c r="D80" s="512"/>
      <c r="E80" s="513"/>
      <c r="F80" s="512"/>
      <c r="G80" s="510"/>
      <c r="H80" s="511"/>
      <c r="I80" s="511"/>
    </row>
    <row r="81" spans="1:9" ht="12.75" customHeight="1">
      <c r="A81" s="509"/>
      <c r="B81" s="512"/>
      <c r="C81" s="510"/>
      <c r="D81" s="512"/>
      <c r="E81" s="513"/>
      <c r="F81" s="512"/>
      <c r="G81" s="510"/>
      <c r="H81" s="511"/>
      <c r="I81" s="511"/>
    </row>
    <row r="82" spans="1:9" ht="12.75" customHeight="1">
      <c r="A82" s="509"/>
      <c r="B82" s="512"/>
      <c r="C82" s="510"/>
      <c r="D82" s="512"/>
      <c r="E82" s="513"/>
      <c r="F82" s="512"/>
      <c r="G82" s="510"/>
      <c r="H82" s="511"/>
      <c r="I82" s="511"/>
    </row>
    <row r="83" spans="1:9" ht="12.75" customHeight="1">
      <c r="A83" s="509"/>
      <c r="B83" s="512"/>
      <c r="C83" s="510"/>
      <c r="D83" s="512"/>
      <c r="E83" s="513"/>
      <c r="F83" s="512"/>
      <c r="G83" s="510"/>
      <c r="H83" s="511"/>
      <c r="I83" s="511"/>
    </row>
    <row r="84" spans="1:9" ht="12.75" customHeight="1">
      <c r="A84" s="509"/>
      <c r="B84" s="512"/>
      <c r="C84" s="510"/>
      <c r="D84" s="512"/>
      <c r="E84" s="513"/>
      <c r="F84" s="512"/>
      <c r="G84" s="510"/>
      <c r="H84" s="511"/>
      <c r="I84" s="511"/>
    </row>
    <row r="85" spans="1:9" ht="12.75" customHeight="1">
      <c r="A85" s="509"/>
      <c r="B85" s="512"/>
      <c r="C85" s="510"/>
      <c r="D85" s="512"/>
      <c r="E85" s="513"/>
      <c r="F85" s="512"/>
      <c r="G85" s="510"/>
      <c r="H85" s="511"/>
      <c r="I85" s="511"/>
    </row>
  </sheetData>
  <sheetProtection/>
  <printOptions/>
  <pageMargins left="0.7" right="0.29" top="1.33" bottom="0.5" header="0.3" footer="0.3"/>
  <pageSetup horizontalDpi="600" verticalDpi="600" orientation="portrait" scale="85" r:id="rId1"/>
  <headerFooter>
    <oddHeader>&amp;L&amp;D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selection activeCell="A3" sqref="A3"/>
    </sheetView>
  </sheetViews>
  <sheetFormatPr defaultColWidth="9.140625" defaultRowHeight="19.5" customHeight="1"/>
  <cols>
    <col min="1" max="1" width="26.7109375" style="177" customWidth="1"/>
    <col min="2" max="2" width="7.140625" style="31" customWidth="1"/>
    <col min="3" max="3" width="10.28125" style="244" bestFit="1" customWidth="1"/>
    <col min="4" max="4" width="8.8515625" style="31" customWidth="1"/>
    <col min="5" max="5" width="10.28125" style="244" bestFit="1" customWidth="1"/>
    <col min="6" max="6" width="7.57421875" style="31" customWidth="1"/>
    <col min="7" max="7" width="10.421875" style="244" bestFit="1" customWidth="1"/>
    <col min="8" max="8" width="13.140625" style="48" bestFit="1" customWidth="1"/>
    <col min="9" max="9" width="8.8515625" style="48" customWidth="1"/>
    <col min="10" max="16384" width="9.140625" style="177" customWidth="1"/>
  </cols>
  <sheetData>
    <row r="1" spans="1:10" ht="19.5" customHeight="1">
      <c r="A1" s="19" t="s">
        <v>361</v>
      </c>
      <c r="B1" s="20"/>
      <c r="C1" s="21"/>
      <c r="D1" s="20"/>
      <c r="E1" s="22"/>
      <c r="F1" s="20"/>
      <c r="G1" s="21"/>
      <c r="H1" s="23"/>
      <c r="I1" s="23"/>
      <c r="J1" s="1"/>
    </row>
    <row r="2" spans="1:10" ht="19.5" customHeight="1">
      <c r="A2" s="19" t="s">
        <v>427</v>
      </c>
      <c r="B2" s="20"/>
      <c r="C2" s="21"/>
      <c r="D2" s="20"/>
      <c r="E2" s="22"/>
      <c r="F2" s="20"/>
      <c r="G2" s="21"/>
      <c r="H2" s="23"/>
      <c r="I2" s="23"/>
      <c r="J2" s="1"/>
    </row>
    <row r="3" spans="1:10" ht="19.5" customHeight="1">
      <c r="A3" s="19" t="s">
        <v>110</v>
      </c>
      <c r="B3" s="20"/>
      <c r="C3" s="21"/>
      <c r="D3" s="20"/>
      <c r="E3" s="22"/>
      <c r="F3" s="20"/>
      <c r="G3" s="21"/>
      <c r="H3" s="23"/>
      <c r="I3" s="23"/>
      <c r="J3" s="1"/>
    </row>
    <row r="4" spans="1:10" ht="19.5" customHeight="1">
      <c r="A4" s="19" t="s">
        <v>5</v>
      </c>
      <c r="B4" s="20"/>
      <c r="C4" s="21"/>
      <c r="D4" s="20"/>
      <c r="E4" s="22"/>
      <c r="F4" s="20"/>
      <c r="G4" s="21"/>
      <c r="H4" s="23"/>
      <c r="I4" s="23"/>
      <c r="J4" s="1"/>
    </row>
    <row r="5" spans="1:10" ht="19.5" customHeight="1">
      <c r="A5" s="19" t="s">
        <v>6</v>
      </c>
      <c r="B5" s="20"/>
      <c r="C5" s="21"/>
      <c r="D5" s="20"/>
      <c r="E5" s="24"/>
      <c r="F5" s="20"/>
      <c r="G5" s="21"/>
      <c r="H5" s="23"/>
      <c r="I5" s="23"/>
      <c r="J5" s="1"/>
    </row>
    <row r="6" spans="1:10" ht="19.5" customHeight="1">
      <c r="A6" s="19" t="s">
        <v>111</v>
      </c>
      <c r="B6" s="20"/>
      <c r="C6" s="21"/>
      <c r="D6" s="20"/>
      <c r="E6" s="22"/>
      <c r="F6" s="20"/>
      <c r="G6" s="21"/>
      <c r="H6" s="23"/>
      <c r="I6" s="23"/>
      <c r="J6" s="1"/>
    </row>
    <row r="7" spans="1:10" ht="19.5" customHeight="1">
      <c r="A7" s="19" t="s">
        <v>112</v>
      </c>
      <c r="B7" s="20"/>
      <c r="C7" s="21"/>
      <c r="D7" s="20"/>
      <c r="E7" s="25" t="s">
        <v>113</v>
      </c>
      <c r="F7" s="20"/>
      <c r="G7" s="21"/>
      <c r="H7" s="23"/>
      <c r="I7" s="23"/>
      <c r="J7" s="1"/>
    </row>
    <row r="8" spans="1:10" ht="19.5" customHeight="1">
      <c r="A8" s="19" t="s">
        <v>362</v>
      </c>
      <c r="B8" s="26"/>
      <c r="C8" s="27"/>
      <c r="D8" s="26"/>
      <c r="E8" s="28"/>
      <c r="F8" s="26"/>
      <c r="G8" s="27"/>
      <c r="H8" s="29"/>
      <c r="I8" s="29"/>
      <c r="J8" s="1"/>
    </row>
    <row r="9" spans="1:10" ht="19.5" customHeight="1">
      <c r="A9" s="52"/>
      <c r="B9" s="246" t="s">
        <v>45</v>
      </c>
      <c r="C9" s="50"/>
      <c r="D9" s="246" t="s">
        <v>46</v>
      </c>
      <c r="E9" s="50"/>
      <c r="F9" s="246"/>
      <c r="G9" s="247" t="s">
        <v>47</v>
      </c>
      <c r="H9" s="248"/>
      <c r="I9" s="248"/>
      <c r="J9" s="1"/>
    </row>
    <row r="10" spans="1:10" ht="19.5" customHeight="1">
      <c r="A10" s="249" t="s">
        <v>48</v>
      </c>
      <c r="B10" s="250" t="s">
        <v>49</v>
      </c>
      <c r="C10" s="251" t="s">
        <v>50</v>
      </c>
      <c r="D10" s="250" t="s">
        <v>49</v>
      </c>
      <c r="E10" s="251" t="s">
        <v>50</v>
      </c>
      <c r="F10" s="250" t="s">
        <v>49</v>
      </c>
      <c r="G10" s="251" t="s">
        <v>50</v>
      </c>
      <c r="H10" s="252" t="s">
        <v>51</v>
      </c>
      <c r="I10" s="252" t="s">
        <v>52</v>
      </c>
      <c r="J10" s="1"/>
    </row>
    <row r="11" spans="1:10" ht="19.5" customHeight="1">
      <c r="A11" s="253" t="s">
        <v>55</v>
      </c>
      <c r="B11" s="254">
        <v>10</v>
      </c>
      <c r="C11" s="255">
        <v>498.5</v>
      </c>
      <c r="D11" s="254">
        <v>0</v>
      </c>
      <c r="E11" s="256">
        <v>0</v>
      </c>
      <c r="F11" s="254">
        <v>10</v>
      </c>
      <c r="G11" s="257">
        <v>498.5</v>
      </c>
      <c r="H11" s="258" t="s">
        <v>363</v>
      </c>
      <c r="I11" s="259">
        <v>257</v>
      </c>
      <c r="J11" s="1"/>
    </row>
    <row r="12" spans="1:10" ht="19.5" customHeight="1">
      <c r="A12" s="253" t="s">
        <v>61</v>
      </c>
      <c r="B12" s="254">
        <v>10</v>
      </c>
      <c r="C12" s="255">
        <v>498.5</v>
      </c>
      <c r="D12" s="254">
        <v>0</v>
      </c>
      <c r="E12" s="256">
        <v>0</v>
      </c>
      <c r="F12" s="254">
        <v>10</v>
      </c>
      <c r="G12" s="257">
        <v>498.5</v>
      </c>
      <c r="H12" s="258" t="s">
        <v>364</v>
      </c>
      <c r="I12" s="259">
        <v>255</v>
      </c>
      <c r="J12" s="1"/>
    </row>
    <row r="13" spans="1:10" ht="19.5" customHeight="1">
      <c r="A13" s="253" t="s">
        <v>63</v>
      </c>
      <c r="B13" s="254">
        <v>40</v>
      </c>
      <c r="C13" s="255">
        <v>1994</v>
      </c>
      <c r="D13" s="254">
        <v>0</v>
      </c>
      <c r="E13" s="256">
        <v>0</v>
      </c>
      <c r="F13" s="254">
        <v>40</v>
      </c>
      <c r="G13" s="257">
        <v>1994</v>
      </c>
      <c r="H13" s="258" t="s">
        <v>365</v>
      </c>
      <c r="I13" s="259">
        <v>245.25</v>
      </c>
      <c r="J13" s="1"/>
    </row>
    <row r="14" spans="1:10" ht="19.5" customHeight="1">
      <c r="A14" s="253" t="s">
        <v>136</v>
      </c>
      <c r="B14" s="254">
        <v>30</v>
      </c>
      <c r="C14" s="255">
        <v>1495.5</v>
      </c>
      <c r="D14" s="254">
        <v>0</v>
      </c>
      <c r="E14" s="256">
        <v>0</v>
      </c>
      <c r="F14" s="254">
        <v>30</v>
      </c>
      <c r="G14" s="257">
        <v>1495.5</v>
      </c>
      <c r="H14" s="258" t="s">
        <v>366</v>
      </c>
      <c r="I14" s="259">
        <v>240</v>
      </c>
      <c r="J14" s="1"/>
    </row>
    <row r="15" spans="1:10" ht="19.5" customHeight="1">
      <c r="A15" s="253" t="s">
        <v>71</v>
      </c>
      <c r="B15" s="254">
        <v>90</v>
      </c>
      <c r="C15" s="255">
        <v>4486.5</v>
      </c>
      <c r="D15" s="254">
        <v>0</v>
      </c>
      <c r="E15" s="256">
        <v>0</v>
      </c>
      <c r="F15" s="254">
        <v>90</v>
      </c>
      <c r="G15" s="257">
        <v>4486.5</v>
      </c>
      <c r="H15" s="258" t="s">
        <v>367</v>
      </c>
      <c r="I15" s="259">
        <v>192.78</v>
      </c>
      <c r="J15" s="1"/>
    </row>
    <row r="16" spans="1:10" ht="19.5" customHeight="1">
      <c r="A16" s="253" t="s">
        <v>83</v>
      </c>
      <c r="B16" s="254">
        <v>10</v>
      </c>
      <c r="C16" s="255">
        <v>498.5</v>
      </c>
      <c r="D16" s="254">
        <v>0</v>
      </c>
      <c r="E16" s="256">
        <v>0</v>
      </c>
      <c r="F16" s="254">
        <v>10</v>
      </c>
      <c r="G16" s="257">
        <v>498.5</v>
      </c>
      <c r="H16" s="258">
        <v>87237.5</v>
      </c>
      <c r="I16" s="259">
        <v>175</v>
      </c>
      <c r="J16" s="1"/>
    </row>
    <row r="17" spans="1:10" ht="19.5" customHeight="1">
      <c r="A17" s="253" t="s">
        <v>87</v>
      </c>
      <c r="B17" s="254">
        <v>10</v>
      </c>
      <c r="C17" s="255">
        <v>498.5</v>
      </c>
      <c r="D17" s="254">
        <v>0</v>
      </c>
      <c r="E17" s="256">
        <v>0</v>
      </c>
      <c r="F17" s="254">
        <v>10</v>
      </c>
      <c r="G17" s="257">
        <v>498.5</v>
      </c>
      <c r="H17" s="258" t="s">
        <v>363</v>
      </c>
      <c r="I17" s="259">
        <v>257</v>
      </c>
      <c r="J17" s="1"/>
    </row>
    <row r="18" spans="1:10" ht="19.5" customHeight="1">
      <c r="A18" s="253" t="s">
        <v>90</v>
      </c>
      <c r="B18" s="254">
        <v>10</v>
      </c>
      <c r="C18" s="255">
        <v>498.5</v>
      </c>
      <c r="D18" s="254">
        <v>0</v>
      </c>
      <c r="E18" s="256">
        <v>0</v>
      </c>
      <c r="F18" s="254">
        <v>10</v>
      </c>
      <c r="G18" s="257">
        <v>498.5</v>
      </c>
      <c r="H18" s="258" t="s">
        <v>368</v>
      </c>
      <c r="I18" s="259">
        <v>230</v>
      </c>
      <c r="J18" s="1"/>
    </row>
    <row r="19" spans="1:10" ht="19.5" customHeight="1">
      <c r="A19" s="253" t="s">
        <v>155</v>
      </c>
      <c r="B19" s="254">
        <v>10</v>
      </c>
      <c r="C19" s="255">
        <v>498.5</v>
      </c>
      <c r="D19" s="254">
        <v>0</v>
      </c>
      <c r="E19" s="256">
        <v>0</v>
      </c>
      <c r="F19" s="254">
        <v>10</v>
      </c>
      <c r="G19" s="257">
        <v>498.5</v>
      </c>
      <c r="H19" s="258" t="s">
        <v>368</v>
      </c>
      <c r="I19" s="259">
        <v>230</v>
      </c>
      <c r="J19" s="1"/>
    </row>
    <row r="20" spans="1:10" ht="19.5" customHeight="1">
      <c r="A20" s="253" t="s">
        <v>14</v>
      </c>
      <c r="B20" s="254">
        <v>220</v>
      </c>
      <c r="C20" s="255">
        <v>10967</v>
      </c>
      <c r="D20" s="254">
        <v>0</v>
      </c>
      <c r="E20" s="256">
        <v>0</v>
      </c>
      <c r="F20" s="254">
        <v>220</v>
      </c>
      <c r="G20" s="257">
        <v>10967</v>
      </c>
      <c r="H20" s="258" t="s">
        <v>369</v>
      </c>
      <c r="I20" s="259">
        <v>220</v>
      </c>
      <c r="J20" s="1"/>
    </row>
    <row r="21" spans="1:10" ht="19.5" customHeight="1">
      <c r="A21" s="253"/>
      <c r="B21" s="260"/>
      <c r="C21" s="247"/>
      <c r="D21" s="254"/>
      <c r="E21" s="257"/>
      <c r="F21" s="260"/>
      <c r="G21" s="247"/>
      <c r="H21" s="258"/>
      <c r="I21" s="258"/>
      <c r="J21" s="1"/>
    </row>
    <row r="22" spans="1:10" ht="19.5" customHeight="1">
      <c r="A22" s="19" t="s">
        <v>117</v>
      </c>
      <c r="B22" s="49"/>
      <c r="C22" s="50"/>
      <c r="D22" s="49"/>
      <c r="E22" s="51"/>
      <c r="F22" s="49"/>
      <c r="G22" s="50"/>
      <c r="H22" s="248"/>
      <c r="I22" s="248"/>
      <c r="J22" s="1"/>
    </row>
    <row r="23" spans="1:10" ht="19.5" customHeight="1">
      <c r="A23" s="19" t="s">
        <v>118</v>
      </c>
      <c r="B23" s="49"/>
      <c r="C23" s="50"/>
      <c r="D23" s="49"/>
      <c r="E23" s="51"/>
      <c r="F23" s="49"/>
      <c r="G23" s="50" t="s">
        <v>119</v>
      </c>
      <c r="H23" s="248"/>
      <c r="I23" s="248"/>
      <c r="J23" s="1"/>
    </row>
    <row r="24" spans="1:10" ht="19.5" customHeight="1">
      <c r="A24" s="19" t="s">
        <v>120</v>
      </c>
      <c r="B24" s="49"/>
      <c r="C24" s="50"/>
      <c r="D24" s="49"/>
      <c r="E24" s="51"/>
      <c r="F24" s="52"/>
      <c r="G24" s="261" t="s">
        <v>121</v>
      </c>
      <c r="H24" s="248"/>
      <c r="I24" s="248"/>
      <c r="J24" s="1"/>
    </row>
    <row r="25" spans="1:10" ht="19.5" customHeight="1">
      <c r="A25" s="19" t="s">
        <v>122</v>
      </c>
      <c r="B25" s="49"/>
      <c r="C25" s="50"/>
      <c r="D25" s="49"/>
      <c r="E25" s="51"/>
      <c r="F25" s="49"/>
      <c r="G25" s="50"/>
      <c r="H25" s="248"/>
      <c r="I25" s="248"/>
      <c r="J25" s="1"/>
    </row>
    <row r="26" spans="1:10" ht="19.5" customHeight="1">
      <c r="A26" s="19" t="s">
        <v>123</v>
      </c>
      <c r="B26" s="49"/>
      <c r="C26" s="50"/>
      <c r="D26" s="49"/>
      <c r="E26" s="51"/>
      <c r="F26" s="49"/>
      <c r="G26" s="50"/>
      <c r="H26" s="248"/>
      <c r="I26" s="248"/>
      <c r="J26" s="1"/>
    </row>
    <row r="27" spans="1:10" ht="19.5" customHeight="1">
      <c r="A27" s="41"/>
      <c r="B27" s="42"/>
      <c r="C27" s="44"/>
      <c r="D27" s="42"/>
      <c r="E27" s="44"/>
      <c r="F27" s="42"/>
      <c r="G27" s="44"/>
      <c r="H27" s="47"/>
      <c r="I27" s="47"/>
      <c r="J27" s="1"/>
    </row>
    <row r="28" spans="1:10" ht="19.5" customHeight="1">
      <c r="A28" s="41"/>
      <c r="B28" s="42"/>
      <c r="C28" s="44"/>
      <c r="D28" s="42"/>
      <c r="E28" s="44"/>
      <c r="F28" s="42"/>
      <c r="G28" s="44"/>
      <c r="H28" s="47"/>
      <c r="I28" s="47"/>
      <c r="J28" s="1"/>
    </row>
    <row r="29" spans="1:10" ht="19.5" customHeight="1">
      <c r="A29" s="41"/>
      <c r="B29" s="42"/>
      <c r="C29" s="44"/>
      <c r="D29" s="42"/>
      <c r="E29" s="44"/>
      <c r="F29" s="42"/>
      <c r="G29" s="44"/>
      <c r="H29" s="47"/>
      <c r="I29" s="47"/>
      <c r="J29" s="1"/>
    </row>
    <row r="30" spans="1:10" ht="19.5" customHeight="1">
      <c r="A30" s="41"/>
      <c r="B30" s="42"/>
      <c r="C30" s="44"/>
      <c r="D30" s="42"/>
      <c r="E30" s="44"/>
      <c r="F30" s="42"/>
      <c r="G30" s="44"/>
      <c r="H30" s="47"/>
      <c r="I30" s="47"/>
      <c r="J30" s="1"/>
    </row>
    <row r="31" spans="1:10" ht="19.5" customHeight="1">
      <c r="A31" s="41"/>
      <c r="B31" s="42"/>
      <c r="C31" s="44"/>
      <c r="D31" s="42"/>
      <c r="E31" s="44"/>
      <c r="F31" s="42"/>
      <c r="G31" s="44"/>
      <c r="H31" s="47"/>
      <c r="I31" s="47"/>
      <c r="J31" s="1"/>
    </row>
    <row r="32" spans="1:10" ht="19.5" customHeight="1">
      <c r="A32" s="41"/>
      <c r="B32" s="42"/>
      <c r="C32" s="44"/>
      <c r="D32" s="42"/>
      <c r="E32" s="44"/>
      <c r="F32" s="42"/>
      <c r="G32" s="44"/>
      <c r="H32" s="47"/>
      <c r="I32" s="47"/>
      <c r="J32" s="1"/>
    </row>
    <row r="33" spans="1:10" ht="19.5" customHeight="1">
      <c r="A33" s="41"/>
      <c r="B33" s="42"/>
      <c r="C33" s="44"/>
      <c r="D33" s="42"/>
      <c r="E33" s="44"/>
      <c r="F33" s="42"/>
      <c r="G33" s="44"/>
      <c r="H33" s="47"/>
      <c r="I33" s="47"/>
      <c r="J33" s="1"/>
    </row>
    <row r="34" spans="1:9" ht="19.5" customHeight="1">
      <c r="A34" s="41"/>
      <c r="B34" s="42"/>
      <c r="C34" s="44"/>
      <c r="D34" s="42"/>
      <c r="E34" s="44"/>
      <c r="F34" s="42"/>
      <c r="G34" s="44"/>
      <c r="H34" s="47"/>
      <c r="I34" s="47"/>
    </row>
    <row r="35" spans="1:9" ht="19.5" customHeight="1">
      <c r="A35" s="41"/>
      <c r="B35" s="42"/>
      <c r="C35" s="44"/>
      <c r="D35" s="42"/>
      <c r="E35" s="44"/>
      <c r="F35" s="42"/>
      <c r="G35" s="44"/>
      <c r="H35" s="47"/>
      <c r="I35" s="47"/>
    </row>
    <row r="36" spans="1:9" ht="19.5" customHeight="1">
      <c r="A36" s="41"/>
      <c r="B36" s="42"/>
      <c r="C36" s="44"/>
      <c r="D36" s="42"/>
      <c r="E36" s="44"/>
      <c r="F36" s="42"/>
      <c r="G36" s="44"/>
      <c r="H36" s="47"/>
      <c r="I36" s="47"/>
    </row>
    <row r="37" spans="1:9" ht="19.5" customHeight="1">
      <c r="A37" s="41"/>
      <c r="B37" s="42"/>
      <c r="C37" s="44"/>
      <c r="D37" s="42"/>
      <c r="E37" s="44"/>
      <c r="F37" s="42"/>
      <c r="G37" s="44"/>
      <c r="H37" s="47"/>
      <c r="I37" s="47"/>
    </row>
    <row r="38" spans="1:9" ht="19.5" customHeight="1">
      <c r="A38" s="41"/>
      <c r="B38" s="42"/>
      <c r="C38" s="44"/>
      <c r="D38" s="42"/>
      <c r="E38" s="44"/>
      <c r="F38" s="42"/>
      <c r="G38" s="44"/>
      <c r="H38" s="47"/>
      <c r="I38" s="47"/>
    </row>
    <row r="39" spans="1:9" ht="19.5" customHeight="1">
      <c r="A39" s="41"/>
      <c r="B39" s="42"/>
      <c r="C39" s="44"/>
      <c r="D39" s="42"/>
      <c r="E39" s="44"/>
      <c r="F39" s="42"/>
      <c r="G39" s="44"/>
      <c r="H39" s="47"/>
      <c r="I39" s="47"/>
    </row>
    <row r="40" spans="1:9" ht="19.5" customHeight="1">
      <c r="A40" s="41"/>
      <c r="B40" s="42"/>
      <c r="C40" s="44"/>
      <c r="D40" s="42"/>
      <c r="E40" s="44"/>
      <c r="F40" s="42"/>
      <c r="G40" s="44"/>
      <c r="H40" s="47"/>
      <c r="I40" s="47"/>
    </row>
    <row r="41" spans="1:9" ht="19.5" customHeight="1">
      <c r="A41" s="41"/>
      <c r="B41" s="42"/>
      <c r="C41" s="44"/>
      <c r="D41" s="42"/>
      <c r="E41" s="44"/>
      <c r="F41" s="42"/>
      <c r="G41" s="44"/>
      <c r="H41" s="47"/>
      <c r="I41" s="47"/>
    </row>
    <row r="42" spans="1:9" ht="19.5" customHeight="1">
      <c r="A42" s="41"/>
      <c r="B42" s="42"/>
      <c r="C42" s="44"/>
      <c r="D42" s="42"/>
      <c r="E42" s="44"/>
      <c r="F42" s="42"/>
      <c r="G42" s="44"/>
      <c r="H42" s="47"/>
      <c r="I42" s="47"/>
    </row>
    <row r="43" spans="1:9" ht="19.5" customHeight="1">
      <c r="A43" s="41"/>
      <c r="B43" s="42"/>
      <c r="C43" s="44"/>
      <c r="D43" s="42"/>
      <c r="E43" s="44"/>
      <c r="F43" s="42"/>
      <c r="G43" s="44"/>
      <c r="H43" s="47"/>
      <c r="I43" s="47"/>
    </row>
    <row r="44" spans="1:9" ht="19.5" customHeight="1">
      <c r="A44" s="41"/>
      <c r="B44" s="42"/>
      <c r="C44" s="44"/>
      <c r="D44" s="42"/>
      <c r="E44" s="44"/>
      <c r="F44" s="42"/>
      <c r="G44" s="44"/>
      <c r="H44" s="47"/>
      <c r="I44" s="47"/>
    </row>
    <row r="45" spans="1:9" ht="19.5" customHeight="1">
      <c r="A45" s="41"/>
      <c r="B45" s="42"/>
      <c r="C45" s="44"/>
      <c r="D45" s="42"/>
      <c r="E45" s="44"/>
      <c r="F45" s="42"/>
      <c r="G45" s="44"/>
      <c r="H45" s="47"/>
      <c r="I45" s="47"/>
    </row>
    <row r="46" spans="1:9" ht="19.5" customHeight="1">
      <c r="A46" s="41"/>
      <c r="B46" s="42"/>
      <c r="C46" s="44"/>
      <c r="D46" s="42"/>
      <c r="E46" s="44"/>
      <c r="F46" s="42"/>
      <c r="G46" s="44"/>
      <c r="H46" s="47"/>
      <c r="I46" s="47"/>
    </row>
    <row r="47" spans="1:9" ht="19.5" customHeight="1">
      <c r="A47" s="41"/>
      <c r="B47" s="42"/>
      <c r="C47" s="44"/>
      <c r="D47" s="42"/>
      <c r="E47" s="44"/>
      <c r="F47" s="42"/>
      <c r="G47" s="44"/>
      <c r="H47" s="47"/>
      <c r="I47" s="47"/>
    </row>
    <row r="48" spans="1:9" ht="19.5" customHeight="1">
      <c r="A48" s="41"/>
      <c r="B48" s="42"/>
      <c r="C48" s="44"/>
      <c r="D48" s="42"/>
      <c r="E48" s="44"/>
      <c r="F48" s="42"/>
      <c r="G48" s="44"/>
      <c r="H48" s="47"/>
      <c r="I48" s="47"/>
    </row>
    <row r="49" spans="1:9" ht="19.5" customHeight="1">
      <c r="A49" s="41"/>
      <c r="B49" s="42"/>
      <c r="C49" s="44"/>
      <c r="D49" s="42"/>
      <c r="E49" s="44"/>
      <c r="F49" s="42"/>
      <c r="G49" s="44"/>
      <c r="H49" s="47"/>
      <c r="I49" s="47"/>
    </row>
    <row r="50" spans="1:9" ht="19.5" customHeight="1">
      <c r="A50" s="41"/>
      <c r="B50" s="42"/>
      <c r="C50" s="44"/>
      <c r="D50" s="42"/>
      <c r="E50" s="44"/>
      <c r="F50" s="42"/>
      <c r="G50" s="44"/>
      <c r="H50" s="47"/>
      <c r="I50" s="47"/>
    </row>
    <row r="51" spans="1:9" ht="19.5" customHeight="1">
      <c r="A51" s="41"/>
      <c r="B51" s="42"/>
      <c r="C51" s="44"/>
      <c r="D51" s="42"/>
      <c r="E51" s="44"/>
      <c r="F51" s="42"/>
      <c r="G51" s="44"/>
      <c r="H51" s="47"/>
      <c r="I51" s="47"/>
    </row>
    <row r="52" spans="1:9" ht="19.5" customHeight="1">
      <c r="A52" s="41"/>
      <c r="B52" s="42"/>
      <c r="C52" s="44"/>
      <c r="D52" s="42"/>
      <c r="E52" s="44"/>
      <c r="F52" s="42"/>
      <c r="G52" s="44"/>
      <c r="H52" s="47"/>
      <c r="I52" s="47"/>
    </row>
    <row r="53" spans="1:9" ht="19.5" customHeight="1">
      <c r="A53" s="41"/>
      <c r="B53" s="42"/>
      <c r="C53" s="44"/>
      <c r="D53" s="42"/>
      <c r="E53" s="44"/>
      <c r="F53" s="42"/>
      <c r="G53" s="44"/>
      <c r="H53" s="47"/>
      <c r="I53" s="47"/>
    </row>
    <row r="54" spans="1:9" ht="19.5" customHeight="1">
      <c r="A54" s="41"/>
      <c r="B54" s="42"/>
      <c r="C54" s="44"/>
      <c r="D54" s="42"/>
      <c r="E54" s="44"/>
      <c r="F54" s="42"/>
      <c r="G54" s="44"/>
      <c r="H54" s="47"/>
      <c r="I54" s="47"/>
    </row>
    <row r="55" spans="1:9" ht="19.5" customHeight="1">
      <c r="A55" s="41"/>
      <c r="B55" s="42"/>
      <c r="C55" s="44"/>
      <c r="D55" s="42"/>
      <c r="E55" s="44"/>
      <c r="F55" s="42"/>
      <c r="G55" s="44"/>
      <c r="H55" s="47"/>
      <c r="I55" s="47"/>
    </row>
    <row r="56" spans="1:9" ht="19.5" customHeight="1">
      <c r="A56" s="41"/>
      <c r="B56" s="42"/>
      <c r="C56" s="44"/>
      <c r="D56" s="42"/>
      <c r="E56" s="44"/>
      <c r="F56" s="42"/>
      <c r="G56" s="44"/>
      <c r="H56" s="47"/>
      <c r="I56" s="47"/>
    </row>
    <row r="57" spans="1:9" ht="19.5" customHeight="1">
      <c r="A57" s="41"/>
      <c r="B57" s="42"/>
      <c r="C57" s="44"/>
      <c r="D57" s="42"/>
      <c r="E57" s="44"/>
      <c r="F57" s="42"/>
      <c r="G57" s="44"/>
      <c r="H57" s="47"/>
      <c r="I57" s="47"/>
    </row>
    <row r="58" spans="1:9" ht="19.5" customHeight="1">
      <c r="A58" s="41"/>
      <c r="B58" s="42"/>
      <c r="C58" s="44"/>
      <c r="D58" s="42"/>
      <c r="E58" s="44"/>
      <c r="F58" s="42"/>
      <c r="G58" s="44"/>
      <c r="H58" s="47"/>
      <c r="I58" s="47"/>
    </row>
    <row r="59" spans="1:9" ht="19.5" customHeight="1">
      <c r="A59" s="41"/>
      <c r="B59" s="42"/>
      <c r="C59" s="44"/>
      <c r="D59" s="42"/>
      <c r="E59" s="44"/>
      <c r="F59" s="42"/>
      <c r="G59" s="44"/>
      <c r="H59" s="47"/>
      <c r="I59" s="47"/>
    </row>
    <row r="60" spans="1:9" ht="19.5" customHeight="1">
      <c r="A60" s="41"/>
      <c r="B60" s="42"/>
      <c r="C60" s="44"/>
      <c r="D60" s="42"/>
      <c r="E60" s="44"/>
      <c r="F60" s="42"/>
      <c r="G60" s="44"/>
      <c r="H60" s="47"/>
      <c r="I60" s="47"/>
    </row>
    <row r="61" spans="1:9" ht="19.5" customHeight="1">
      <c r="A61" s="41"/>
      <c r="B61" s="42"/>
      <c r="C61" s="44"/>
      <c r="D61" s="42"/>
      <c r="E61" s="44"/>
      <c r="F61" s="42"/>
      <c r="G61" s="44"/>
      <c r="H61" s="47"/>
      <c r="I61" s="47"/>
    </row>
    <row r="62" spans="1:9" ht="19.5" customHeight="1">
      <c r="A62" s="41"/>
      <c r="B62" s="42"/>
      <c r="C62" s="44"/>
      <c r="D62" s="42"/>
      <c r="E62" s="44"/>
      <c r="F62" s="42"/>
      <c r="G62" s="44"/>
      <c r="H62" s="47"/>
      <c r="I62" s="47"/>
    </row>
    <row r="63" spans="1:9" ht="19.5" customHeight="1">
      <c r="A63" s="41"/>
      <c r="B63" s="42"/>
      <c r="C63" s="44"/>
      <c r="D63" s="42"/>
      <c r="E63" s="44"/>
      <c r="F63" s="42"/>
      <c r="G63" s="44"/>
      <c r="H63" s="47"/>
      <c r="I63" s="47"/>
    </row>
    <row r="64" spans="1:9" ht="19.5" customHeight="1">
      <c r="A64" s="41"/>
      <c r="B64" s="42"/>
      <c r="C64" s="44"/>
      <c r="D64" s="42"/>
      <c r="E64" s="44"/>
      <c r="F64" s="42"/>
      <c r="G64" s="44"/>
      <c r="H64" s="47"/>
      <c r="I64" s="47"/>
    </row>
    <row r="65" spans="1:9" ht="19.5" customHeight="1">
      <c r="A65" s="41"/>
      <c r="B65" s="42"/>
      <c r="C65" s="44"/>
      <c r="D65" s="42"/>
      <c r="E65" s="44"/>
      <c r="F65" s="42"/>
      <c r="G65" s="44"/>
      <c r="H65" s="47"/>
      <c r="I65" s="47"/>
    </row>
    <row r="66" spans="1:9" ht="19.5" customHeight="1">
      <c r="A66" s="41"/>
      <c r="B66" s="42"/>
      <c r="C66" s="44"/>
      <c r="D66" s="42"/>
      <c r="E66" s="44"/>
      <c r="F66" s="42"/>
      <c r="G66" s="44"/>
      <c r="H66" s="47"/>
      <c r="I66" s="47"/>
    </row>
    <row r="67" spans="1:9" ht="19.5" customHeight="1">
      <c r="A67" s="41"/>
      <c r="B67" s="42"/>
      <c r="C67" s="44"/>
      <c r="D67" s="42"/>
      <c r="E67" s="44"/>
      <c r="F67" s="42"/>
      <c r="G67" s="44"/>
      <c r="H67" s="47"/>
      <c r="I67" s="47"/>
    </row>
    <row r="68" spans="1:9" ht="19.5" customHeight="1">
      <c r="A68" s="41"/>
      <c r="B68" s="42"/>
      <c r="C68" s="44"/>
      <c r="D68" s="42"/>
      <c r="E68" s="44"/>
      <c r="F68" s="42"/>
      <c r="G68" s="44"/>
      <c r="H68" s="47"/>
      <c r="I68" s="47"/>
    </row>
    <row r="69" spans="1:9" ht="19.5" customHeight="1">
      <c r="A69" s="41"/>
      <c r="B69" s="42"/>
      <c r="C69" s="44"/>
      <c r="D69" s="42"/>
      <c r="E69" s="44"/>
      <c r="F69" s="42"/>
      <c r="G69" s="44"/>
      <c r="H69" s="47"/>
      <c r="I69" s="47"/>
    </row>
    <row r="70" spans="1:9" ht="19.5" customHeight="1">
      <c r="A70" s="41"/>
      <c r="B70" s="42"/>
      <c r="C70" s="44"/>
      <c r="D70" s="42"/>
      <c r="E70" s="44"/>
      <c r="F70" s="42"/>
      <c r="G70" s="44"/>
      <c r="H70" s="47"/>
      <c r="I70" s="47"/>
    </row>
    <row r="71" spans="1:9" ht="19.5" customHeight="1">
      <c r="A71" s="41"/>
      <c r="B71" s="42"/>
      <c r="C71" s="44"/>
      <c r="D71" s="42"/>
      <c r="E71" s="44"/>
      <c r="F71" s="42"/>
      <c r="G71" s="44"/>
      <c r="H71" s="47"/>
      <c r="I71" s="47"/>
    </row>
    <row r="72" spans="1:9" ht="19.5" customHeight="1">
      <c r="A72" s="41"/>
      <c r="B72" s="42"/>
      <c r="C72" s="44"/>
      <c r="D72" s="42"/>
      <c r="E72" s="44"/>
      <c r="F72" s="42"/>
      <c r="G72" s="44"/>
      <c r="H72" s="47"/>
      <c r="I72" s="47"/>
    </row>
    <row r="73" spans="1:9" ht="19.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9.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9.5" customHeight="1">
      <c r="A75" s="41"/>
      <c r="B75" s="42"/>
      <c r="C75" s="44"/>
      <c r="D75" s="42"/>
      <c r="E75" s="44"/>
      <c r="F75" s="42"/>
      <c r="G75" s="44"/>
      <c r="H75" s="47"/>
      <c r="I75" s="47"/>
    </row>
  </sheetData>
  <sheetProtection/>
  <printOptions/>
  <pageMargins left="0.7" right="0.7" top="0.83" bottom="0.75" header="0.3" footer="0.3"/>
  <pageSetup horizontalDpi="600" verticalDpi="600" orientation="portrait" scale="85" r:id="rId1"/>
  <headerFooter>
    <oddHeader>&amp;RProduce Brokers Limited
1349/A, North Agrabad, D.T. Road Askarabad (1st floor)
Chattogram-4224
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I92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6.7109375" style="4" customWidth="1"/>
    <col min="2" max="2" width="7.57421875" style="4" customWidth="1"/>
    <col min="3" max="3" width="12.57421875" style="6" customWidth="1"/>
    <col min="4" max="4" width="12.7109375" style="5" customWidth="1"/>
    <col min="5" max="5" width="15.00390625" style="6" customWidth="1"/>
    <col min="6" max="6" width="14.421875" style="5" customWidth="1"/>
    <col min="7" max="7" width="9.8515625" style="5" customWidth="1"/>
    <col min="8" max="8" width="9.57421875" style="5" customWidth="1"/>
    <col min="9" max="9" width="9.28125" style="3" customWidth="1"/>
    <col min="10" max="10" width="21.28125" style="7" bestFit="1" customWidth="1"/>
    <col min="11" max="16384" width="9.140625" style="7" customWidth="1"/>
  </cols>
  <sheetData>
    <row r="1" spans="1:9" ht="15" customHeight="1">
      <c r="A1" s="14"/>
      <c r="B1" s="14"/>
      <c r="C1" s="200" t="s">
        <v>3</v>
      </c>
      <c r="D1" s="199"/>
      <c r="E1" s="201"/>
      <c r="F1" s="202"/>
      <c r="G1" s="199"/>
      <c r="H1" s="14"/>
      <c r="I1" s="15"/>
    </row>
    <row r="2" spans="1:9" ht="15" customHeight="1">
      <c r="A2" s="14"/>
      <c r="B2" s="14"/>
      <c r="C2" s="200" t="s">
        <v>4</v>
      </c>
      <c r="D2" s="203"/>
      <c r="E2" s="200"/>
      <c r="F2" s="202"/>
      <c r="G2" s="199"/>
      <c r="H2" s="14"/>
      <c r="I2" s="15"/>
    </row>
    <row r="3" spans="1:9" ht="15" customHeight="1">
      <c r="A3" s="14"/>
      <c r="B3" s="14"/>
      <c r="C3" s="200" t="s">
        <v>33</v>
      </c>
      <c r="D3" s="203"/>
      <c r="E3" s="200"/>
      <c r="F3" s="202"/>
      <c r="G3" s="199"/>
      <c r="H3" s="14"/>
      <c r="I3" s="15"/>
    </row>
    <row r="4" spans="1:9" ht="15" customHeight="1">
      <c r="A4" s="16"/>
      <c r="B4" s="14"/>
      <c r="C4" s="200" t="s">
        <v>31</v>
      </c>
      <c r="D4" s="203"/>
      <c r="E4" s="200"/>
      <c r="F4" s="202"/>
      <c r="G4" s="204"/>
      <c r="H4" s="14"/>
      <c r="I4" s="15"/>
    </row>
    <row r="5" spans="1:9" ht="15" customHeight="1">
      <c r="A5" s="14"/>
      <c r="B5" s="16"/>
      <c r="C5" s="205"/>
      <c r="D5" s="204"/>
      <c r="E5" s="201" t="s">
        <v>311</v>
      </c>
      <c r="F5" s="202"/>
      <c r="G5" s="204"/>
      <c r="H5" s="14"/>
      <c r="I5" s="15"/>
    </row>
    <row r="6" spans="1:9" ht="15" customHeight="1">
      <c r="A6" s="17" t="s">
        <v>39</v>
      </c>
      <c r="B6" s="16"/>
      <c r="C6" s="205"/>
      <c r="D6" s="204"/>
      <c r="E6" s="205"/>
      <c r="F6" s="202"/>
      <c r="G6" s="204"/>
      <c r="H6" s="14"/>
      <c r="I6" s="15"/>
    </row>
    <row r="7" spans="1:9" ht="15" customHeight="1">
      <c r="A7" s="206" t="s">
        <v>312</v>
      </c>
      <c r="B7" s="206"/>
      <c r="C7" s="859" t="s">
        <v>315</v>
      </c>
      <c r="D7" s="859"/>
      <c r="E7" s="207" t="s">
        <v>316</v>
      </c>
      <c r="F7" s="208"/>
      <c r="G7" s="199"/>
      <c r="H7" s="14"/>
      <c r="I7" s="15"/>
    </row>
    <row r="8" spans="1:9" ht="15" customHeight="1">
      <c r="A8" s="209" t="s">
        <v>243</v>
      </c>
      <c r="B8" s="14"/>
      <c r="C8" s="210" t="s">
        <v>0</v>
      </c>
      <c r="D8" s="211" t="s">
        <v>1</v>
      </c>
      <c r="E8" s="212" t="s">
        <v>0</v>
      </c>
      <c r="F8" s="213" t="s">
        <v>1</v>
      </c>
      <c r="G8" s="199"/>
      <c r="H8" s="14"/>
      <c r="I8" s="15"/>
    </row>
    <row r="9" spans="1:9" ht="15" customHeight="1">
      <c r="A9" s="17" t="s">
        <v>277</v>
      </c>
      <c r="B9" s="14"/>
      <c r="C9" s="205">
        <v>0</v>
      </c>
      <c r="D9" s="214">
        <v>0</v>
      </c>
      <c r="E9" s="215">
        <v>8724.4</v>
      </c>
      <c r="F9" s="216">
        <v>150.85729677685572</v>
      </c>
      <c r="G9" s="199"/>
      <c r="H9" s="14"/>
      <c r="I9" s="15"/>
    </row>
    <row r="10" spans="1:9" ht="15" customHeight="1">
      <c r="A10" s="17" t="s">
        <v>278</v>
      </c>
      <c r="B10" s="14"/>
      <c r="C10" s="205">
        <v>5484.1</v>
      </c>
      <c r="D10" s="214">
        <v>197.58966831385277</v>
      </c>
      <c r="E10" s="215">
        <v>21935.699999999997</v>
      </c>
      <c r="F10" s="216">
        <v>218.24966151068807</v>
      </c>
      <c r="G10" s="199"/>
      <c r="H10" s="14"/>
      <c r="I10" s="15"/>
    </row>
    <row r="11" spans="1:9" ht="15" customHeight="1">
      <c r="A11" s="17" t="s">
        <v>279</v>
      </c>
      <c r="B11" s="14"/>
      <c r="C11" s="205">
        <v>0</v>
      </c>
      <c r="D11" s="214">
        <v>0</v>
      </c>
      <c r="E11" s="215">
        <v>2991</v>
      </c>
      <c r="F11" s="216">
        <v>240.16666666666666</v>
      </c>
      <c r="G11" s="199"/>
      <c r="H11" s="14"/>
      <c r="I11" s="15"/>
    </row>
    <row r="12" spans="1:9" ht="15" customHeight="1">
      <c r="A12" s="17" t="s">
        <v>280</v>
      </c>
      <c r="B12" s="14"/>
      <c r="C12" s="205">
        <v>8179</v>
      </c>
      <c r="D12" s="214">
        <v>183.77557158576843</v>
      </c>
      <c r="E12" s="215">
        <v>37951</v>
      </c>
      <c r="F12" s="216">
        <v>201.44825959790256</v>
      </c>
      <c r="G12" s="199"/>
      <c r="H12" s="14"/>
      <c r="I12" s="15"/>
    </row>
    <row r="13" spans="1:9" ht="15" customHeight="1">
      <c r="A13" s="17" t="s">
        <v>281</v>
      </c>
      <c r="B13" s="14"/>
      <c r="C13" s="205">
        <v>249.5</v>
      </c>
      <c r="D13" s="214">
        <v>145</v>
      </c>
      <c r="E13" s="215">
        <v>9722.4</v>
      </c>
      <c r="F13" s="216">
        <v>137.9748313173702</v>
      </c>
      <c r="G13" s="199"/>
      <c r="H13" s="14"/>
      <c r="I13" s="15"/>
    </row>
    <row r="14" spans="1:9" ht="15" customHeight="1">
      <c r="A14" s="17" t="s">
        <v>282</v>
      </c>
      <c r="B14" s="14"/>
      <c r="C14" s="205">
        <v>5476</v>
      </c>
      <c r="D14" s="214">
        <v>193.39344411979548</v>
      </c>
      <c r="E14" s="215">
        <v>12705.9</v>
      </c>
      <c r="F14" s="216">
        <v>206.16130301670879</v>
      </c>
      <c r="G14" s="199"/>
      <c r="H14" s="14"/>
      <c r="I14" s="15"/>
    </row>
    <row r="15" spans="1:9" ht="15" customHeight="1">
      <c r="A15" s="17" t="s">
        <v>283</v>
      </c>
      <c r="B15" s="14"/>
      <c r="C15" s="205">
        <v>17897.5</v>
      </c>
      <c r="D15" s="214">
        <v>251.0684173767286</v>
      </c>
      <c r="E15" s="215">
        <v>63342.5</v>
      </c>
      <c r="F15" s="216">
        <v>282.66741129573353</v>
      </c>
      <c r="G15" s="199"/>
      <c r="H15" s="14"/>
      <c r="I15" s="15"/>
    </row>
    <row r="16" spans="1:9" ht="15" customHeight="1">
      <c r="A16" s="17" t="s">
        <v>284</v>
      </c>
      <c r="B16" s="14"/>
      <c r="C16" s="205">
        <v>1495.5</v>
      </c>
      <c r="D16" s="214">
        <v>130.66666666666666</v>
      </c>
      <c r="E16" s="215">
        <v>2243.9</v>
      </c>
      <c r="F16" s="216">
        <v>147.1206381746067</v>
      </c>
      <c r="G16" s="199"/>
      <c r="H16" s="14"/>
      <c r="I16" s="15"/>
    </row>
    <row r="17" spans="1:9" ht="15" customHeight="1">
      <c r="A17" s="17" t="s">
        <v>285</v>
      </c>
      <c r="B17" s="14"/>
      <c r="C17" s="205">
        <v>11458.2</v>
      </c>
      <c r="D17" s="214">
        <v>182.03527604684854</v>
      </c>
      <c r="E17" s="215">
        <v>21678.1</v>
      </c>
      <c r="F17" s="216">
        <v>185.39975366844882</v>
      </c>
      <c r="G17" s="199"/>
      <c r="H17" s="14"/>
      <c r="I17" s="15"/>
    </row>
    <row r="18" spans="1:9" ht="15" customHeight="1">
      <c r="A18" s="17" t="s">
        <v>286</v>
      </c>
      <c r="B18" s="14"/>
      <c r="C18" s="205">
        <v>7727.6</v>
      </c>
      <c r="D18" s="214">
        <v>246.1292768776852</v>
      </c>
      <c r="E18" s="215">
        <v>31809.399999999994</v>
      </c>
      <c r="F18" s="216">
        <v>243.64396059026578</v>
      </c>
      <c r="G18" s="199"/>
      <c r="H18" s="14"/>
      <c r="I18" s="15"/>
    </row>
    <row r="19" spans="1:9" ht="15" customHeight="1">
      <c r="A19" s="17" t="s">
        <v>287</v>
      </c>
      <c r="B19" s="14"/>
      <c r="C19" s="205">
        <v>1495.5</v>
      </c>
      <c r="D19" s="214">
        <v>193.16542962219995</v>
      </c>
      <c r="E19" s="215">
        <v>9474.9</v>
      </c>
      <c r="F19" s="216">
        <v>188.42038438400405</v>
      </c>
      <c r="G19" s="199"/>
      <c r="H19" s="14"/>
      <c r="I19" s="15"/>
    </row>
    <row r="20" spans="1:9" ht="15" customHeight="1">
      <c r="A20" s="17" t="s">
        <v>288</v>
      </c>
      <c r="B20" s="14"/>
      <c r="C20" s="205">
        <v>19947.2</v>
      </c>
      <c r="D20" s="214">
        <v>200.10102169728083</v>
      </c>
      <c r="E20" s="215">
        <v>64826.3</v>
      </c>
      <c r="F20" s="216">
        <v>211.9176429936615</v>
      </c>
      <c r="G20" s="199"/>
      <c r="H20" s="14"/>
      <c r="I20" s="15"/>
    </row>
    <row r="21" spans="1:9" ht="15" customHeight="1">
      <c r="A21" s="17" t="s">
        <v>289</v>
      </c>
      <c r="B21" s="14"/>
      <c r="C21" s="205">
        <v>14466.5</v>
      </c>
      <c r="D21" s="214">
        <v>235.48504475858016</v>
      </c>
      <c r="E21" s="215">
        <v>41891</v>
      </c>
      <c r="F21" s="216">
        <v>236.25549402019527</v>
      </c>
      <c r="G21" s="199"/>
      <c r="H21" s="14"/>
      <c r="I21" s="15"/>
    </row>
    <row r="22" spans="1:9" ht="15" customHeight="1">
      <c r="A22" s="17" t="s">
        <v>290</v>
      </c>
      <c r="B22" s="14"/>
      <c r="C22" s="205">
        <v>0</v>
      </c>
      <c r="D22" s="214">
        <v>0</v>
      </c>
      <c r="E22" s="215">
        <v>5984.9</v>
      </c>
      <c r="F22" s="216">
        <v>133.00690070009526</v>
      </c>
      <c r="G22" s="199"/>
      <c r="H22" s="14"/>
      <c r="I22" s="15"/>
    </row>
    <row r="23" spans="1:9" ht="15" customHeight="1">
      <c r="A23" s="17" t="s">
        <v>291</v>
      </c>
      <c r="B23" s="14"/>
      <c r="C23" s="205">
        <v>1996.1</v>
      </c>
      <c r="D23" s="214">
        <v>167.7562246380442</v>
      </c>
      <c r="E23" s="215">
        <v>23950</v>
      </c>
      <c r="F23" s="216">
        <v>157.46214196242173</v>
      </c>
      <c r="G23" s="199"/>
      <c r="H23" s="14"/>
      <c r="I23" s="15"/>
    </row>
    <row r="24" spans="1:9" ht="15" customHeight="1">
      <c r="A24" s="17" t="s">
        <v>292</v>
      </c>
      <c r="B24" s="14"/>
      <c r="C24" s="205">
        <v>0</v>
      </c>
      <c r="D24" s="214">
        <v>0</v>
      </c>
      <c r="E24" s="215">
        <v>9970</v>
      </c>
      <c r="F24" s="216">
        <v>253.2</v>
      </c>
      <c r="G24" s="199"/>
      <c r="H24" s="14"/>
      <c r="I24" s="15"/>
    </row>
    <row r="25" spans="1:9" ht="15" customHeight="1">
      <c r="A25" s="17" t="s">
        <v>293</v>
      </c>
      <c r="B25" s="14"/>
      <c r="C25" s="205">
        <v>3988</v>
      </c>
      <c r="D25" s="214">
        <v>194.625</v>
      </c>
      <c r="E25" s="215">
        <v>12213.2</v>
      </c>
      <c r="F25" s="216">
        <v>206.06107326499196</v>
      </c>
      <c r="G25" s="199"/>
      <c r="H25" s="14"/>
      <c r="I25" s="15"/>
    </row>
    <row r="26" spans="1:9" ht="15" customHeight="1">
      <c r="A26" s="17" t="s">
        <v>294</v>
      </c>
      <c r="B26" s="14"/>
      <c r="C26" s="205">
        <v>0</v>
      </c>
      <c r="D26" s="214">
        <v>0</v>
      </c>
      <c r="E26" s="215">
        <v>499.2</v>
      </c>
      <c r="F26" s="216">
        <v>180</v>
      </c>
      <c r="G26" s="199"/>
      <c r="H26" s="14"/>
      <c r="I26" s="15"/>
    </row>
    <row r="27" spans="1:9" ht="15" customHeight="1">
      <c r="A27" s="17" t="s">
        <v>295</v>
      </c>
      <c r="B27" s="14"/>
      <c r="C27" s="205">
        <v>0</v>
      </c>
      <c r="D27" s="214">
        <v>0</v>
      </c>
      <c r="E27" s="215">
        <v>6987.4</v>
      </c>
      <c r="F27" s="216">
        <v>150.21717663222373</v>
      </c>
      <c r="G27" s="199"/>
      <c r="H27" s="14"/>
      <c r="I27" s="15"/>
    </row>
    <row r="28" spans="1:9" ht="15" customHeight="1">
      <c r="A28" s="17" t="s">
        <v>296</v>
      </c>
      <c r="B28" s="14"/>
      <c r="C28" s="215">
        <v>8477.3</v>
      </c>
      <c r="D28" s="214">
        <v>167.53592535359138</v>
      </c>
      <c r="E28" s="215">
        <v>27421</v>
      </c>
      <c r="F28" s="202">
        <v>182.09202071405127</v>
      </c>
      <c r="G28" s="199"/>
      <c r="H28" s="14"/>
      <c r="I28" s="15"/>
    </row>
    <row r="29" spans="1:9" ht="15" customHeight="1">
      <c r="A29" s="17" t="s">
        <v>297</v>
      </c>
      <c r="B29" s="14"/>
      <c r="C29" s="215">
        <v>1994</v>
      </c>
      <c r="D29" s="214">
        <v>129.5</v>
      </c>
      <c r="E29" s="215">
        <v>11220.699999999999</v>
      </c>
      <c r="F29" s="202">
        <v>134.8044061422193</v>
      </c>
      <c r="G29" s="199"/>
      <c r="H29" s="14"/>
      <c r="I29" s="15"/>
    </row>
    <row r="30" spans="1:9" ht="15" customHeight="1">
      <c r="A30" s="17" t="s">
        <v>313</v>
      </c>
      <c r="B30" s="14"/>
      <c r="C30" s="215">
        <v>6978.8</v>
      </c>
      <c r="D30" s="214">
        <v>169.28423224623145</v>
      </c>
      <c r="E30" s="215">
        <v>6978.8</v>
      </c>
      <c r="F30" s="214">
        <v>169.28423224623145</v>
      </c>
      <c r="G30" s="199"/>
      <c r="H30" s="14"/>
      <c r="I30" s="18"/>
    </row>
    <row r="31" spans="1:9" ht="15" customHeight="1">
      <c r="A31" s="17" t="s">
        <v>298</v>
      </c>
      <c r="B31" s="14"/>
      <c r="C31" s="215">
        <v>9721.7</v>
      </c>
      <c r="D31" s="214">
        <v>187.43605542240553</v>
      </c>
      <c r="E31" s="215">
        <v>61175.399999999994</v>
      </c>
      <c r="F31" s="202">
        <v>210.97840471823642</v>
      </c>
      <c r="G31" s="199"/>
      <c r="H31" s="14"/>
      <c r="I31" s="14"/>
    </row>
    <row r="32" spans="1:9" ht="15" customHeight="1">
      <c r="A32" s="17" t="s">
        <v>299</v>
      </c>
      <c r="B32" s="14"/>
      <c r="C32" s="215">
        <v>1994</v>
      </c>
      <c r="D32" s="214">
        <v>132.25</v>
      </c>
      <c r="E32" s="215">
        <v>11965.599999999999</v>
      </c>
      <c r="F32" s="202">
        <v>134.27065922310626</v>
      </c>
      <c r="G32" s="199"/>
      <c r="H32" s="14"/>
      <c r="I32" s="14"/>
    </row>
    <row r="33" spans="1:9" ht="15" customHeight="1">
      <c r="A33" s="17" t="s">
        <v>300</v>
      </c>
      <c r="B33" s="14"/>
      <c r="C33" s="215">
        <v>1991</v>
      </c>
      <c r="D33" s="214">
        <v>131.51</v>
      </c>
      <c r="E33" s="215">
        <v>6982.7</v>
      </c>
      <c r="F33" s="202">
        <v>144.87</v>
      </c>
      <c r="G33" s="199"/>
      <c r="H33" s="14"/>
      <c r="I33" s="14"/>
    </row>
    <row r="34" spans="1:9" ht="15" customHeight="1">
      <c r="A34" s="17" t="s">
        <v>301</v>
      </c>
      <c r="B34" s="14"/>
      <c r="C34" s="215">
        <v>18200.3</v>
      </c>
      <c r="D34" s="214">
        <v>211.60412740449334</v>
      </c>
      <c r="E34" s="215">
        <v>81279.8</v>
      </c>
      <c r="F34" s="202">
        <v>230.49409693429365</v>
      </c>
      <c r="G34" s="199"/>
      <c r="H34" s="14"/>
      <c r="I34" s="14"/>
    </row>
    <row r="35" spans="1:9" ht="15" customHeight="1">
      <c r="A35" s="17" t="s">
        <v>302</v>
      </c>
      <c r="B35" s="14"/>
      <c r="C35" s="215">
        <v>997</v>
      </c>
      <c r="D35" s="214">
        <v>131.5</v>
      </c>
      <c r="E35" s="215">
        <v>6234.5</v>
      </c>
      <c r="F35" s="202">
        <v>152.40912663405246</v>
      </c>
      <c r="G35" s="199"/>
      <c r="H35" s="14"/>
      <c r="I35" s="14"/>
    </row>
    <row r="36" spans="1:9" ht="15" customHeight="1">
      <c r="A36" s="17" t="s">
        <v>303</v>
      </c>
      <c r="B36" s="14"/>
      <c r="C36" s="215">
        <v>2491.7</v>
      </c>
      <c r="D36" s="214">
        <v>134.7992936549344</v>
      </c>
      <c r="E36" s="215">
        <v>23916.4</v>
      </c>
      <c r="F36" s="202">
        <v>144.540858992156</v>
      </c>
      <c r="G36" s="199"/>
      <c r="H36" s="14"/>
      <c r="I36" s="14"/>
    </row>
    <row r="37" spans="1:9" ht="15" customHeight="1">
      <c r="A37" s="17" t="s">
        <v>314</v>
      </c>
      <c r="B37" s="14"/>
      <c r="C37" s="217">
        <v>6490.2</v>
      </c>
      <c r="D37" s="218">
        <v>178.461218452436</v>
      </c>
      <c r="E37" s="217">
        <v>6490.2</v>
      </c>
      <c r="F37" s="219">
        <v>178.461218452436</v>
      </c>
      <c r="G37" s="199"/>
      <c r="H37" s="14"/>
      <c r="I37" s="14"/>
    </row>
    <row r="38" spans="1:9" ht="15" customHeight="1">
      <c r="A38" s="220" t="s">
        <v>304</v>
      </c>
      <c r="B38" s="18"/>
      <c r="C38" s="221">
        <v>159196.70000000004</v>
      </c>
      <c r="D38" s="222">
        <v>200.00852027711625</v>
      </c>
      <c r="E38" s="221">
        <v>632566.3</v>
      </c>
      <c r="F38" s="223">
        <v>208.85095254046888</v>
      </c>
      <c r="G38" s="199"/>
      <c r="H38" s="14"/>
      <c r="I38" s="224"/>
    </row>
    <row r="39" spans="1:9" ht="15" customHeight="1">
      <c r="A39" s="220"/>
      <c r="B39" s="18"/>
      <c r="C39" s="225">
        <f>SUM(C9:C37)-C38</f>
        <v>0</v>
      </c>
      <c r="D39" s="226"/>
      <c r="E39" s="225">
        <f>SUM(E9:E37)-E38</f>
        <v>0</v>
      </c>
      <c r="F39" s="227"/>
      <c r="G39" s="199"/>
      <c r="H39" s="14"/>
      <c r="I39" s="224"/>
    </row>
    <row r="40" spans="1:9" ht="15" customHeight="1">
      <c r="A40" s="206" t="s">
        <v>305</v>
      </c>
      <c r="B40" s="206"/>
      <c r="C40" s="228" t="s">
        <v>306</v>
      </c>
      <c r="D40" s="229" t="s">
        <v>307</v>
      </c>
      <c r="E40" s="228" t="s">
        <v>306</v>
      </c>
      <c r="F40" s="208" t="s">
        <v>307</v>
      </c>
      <c r="G40" s="199"/>
      <c r="H40" s="14"/>
      <c r="I40" s="224"/>
    </row>
    <row r="41" spans="1:9" ht="15" customHeight="1">
      <c r="A41" s="14" t="s">
        <v>294</v>
      </c>
      <c r="B41" s="14"/>
      <c r="C41" s="201">
        <v>0</v>
      </c>
      <c r="D41" s="199">
        <v>0</v>
      </c>
      <c r="E41" s="230">
        <v>497</v>
      </c>
      <c r="F41" s="219">
        <v>115</v>
      </c>
      <c r="G41" s="199"/>
      <c r="H41" s="14"/>
      <c r="I41" s="224"/>
    </row>
    <row r="42" spans="1:9" ht="15" customHeight="1">
      <c r="A42" s="14" t="s">
        <v>304</v>
      </c>
      <c r="B42" s="14"/>
      <c r="C42" s="230">
        <v>0</v>
      </c>
      <c r="D42" s="231">
        <v>0</v>
      </c>
      <c r="E42" s="230">
        <v>497</v>
      </c>
      <c r="F42" s="219">
        <v>115</v>
      </c>
      <c r="G42" s="199"/>
      <c r="H42" s="14"/>
      <c r="I42" s="224"/>
    </row>
    <row r="43" spans="1:9" ht="15" customHeight="1">
      <c r="A43" s="14" t="s">
        <v>308</v>
      </c>
      <c r="B43" s="14"/>
      <c r="C43" s="230">
        <v>159196.70000000004</v>
      </c>
      <c r="D43" s="231">
        <v>200.00852027711625</v>
      </c>
      <c r="E43" s="230">
        <v>633063.3</v>
      </c>
      <c r="F43" s="219">
        <v>208.77727282564004</v>
      </c>
      <c r="G43" s="199"/>
      <c r="H43" s="14"/>
      <c r="I43" s="224"/>
    </row>
    <row r="44" spans="1:9" ht="15" customHeight="1">
      <c r="A44" s="14"/>
      <c r="B44" s="14"/>
      <c r="C44" s="201">
        <v>0</v>
      </c>
      <c r="D44" s="199"/>
      <c r="E44" s="201">
        <v>0</v>
      </c>
      <c r="F44" s="202"/>
      <c r="G44" s="199"/>
      <c r="H44" s="14"/>
      <c r="I44" s="224"/>
    </row>
    <row r="45" spans="1:9" ht="15" customHeight="1">
      <c r="A45" s="14"/>
      <c r="B45" s="14"/>
      <c r="C45" s="230" t="s">
        <v>315</v>
      </c>
      <c r="D45" s="199"/>
      <c r="E45" s="224"/>
      <c r="F45" s="230" t="s">
        <v>316</v>
      </c>
      <c r="G45" s="199"/>
      <c r="H45" s="14"/>
      <c r="I45" s="224"/>
    </row>
    <row r="46" spans="1:9" ht="15" customHeight="1">
      <c r="A46" s="206" t="s">
        <v>40</v>
      </c>
      <c r="B46" s="232" t="s">
        <v>41</v>
      </c>
      <c r="C46" s="212" t="s">
        <v>0</v>
      </c>
      <c r="D46" s="208" t="s">
        <v>164</v>
      </c>
      <c r="E46" s="212" t="s">
        <v>41</v>
      </c>
      <c r="F46" s="212" t="s">
        <v>0</v>
      </c>
      <c r="G46" s="208" t="s">
        <v>164</v>
      </c>
      <c r="H46" s="233" t="s">
        <v>2</v>
      </c>
      <c r="I46" s="224"/>
    </row>
    <row r="47" spans="1:9" ht="15" customHeight="1">
      <c r="A47" s="14" t="s">
        <v>42</v>
      </c>
      <c r="B47" s="234">
        <v>0</v>
      </c>
      <c r="C47" s="235">
        <v>0</v>
      </c>
      <c r="D47" s="236">
        <v>0</v>
      </c>
      <c r="E47" s="235">
        <v>0</v>
      </c>
      <c r="F47" s="237">
        <v>0</v>
      </c>
      <c r="G47" s="236">
        <v>0</v>
      </c>
      <c r="H47" s="238">
        <f>F47/F49</f>
        <v>0</v>
      </c>
      <c r="I47" s="224"/>
    </row>
    <row r="48" spans="1:9" ht="15" customHeight="1">
      <c r="A48" s="14" t="s">
        <v>43</v>
      </c>
      <c r="B48" s="239">
        <v>3193</v>
      </c>
      <c r="C48" s="240">
        <v>159196.7</v>
      </c>
      <c r="D48" s="241">
        <v>200.01</v>
      </c>
      <c r="E48" s="240">
        <v>12697</v>
      </c>
      <c r="F48" s="242">
        <v>633063.3</v>
      </c>
      <c r="G48" s="241">
        <v>208.78</v>
      </c>
      <c r="H48" s="243">
        <f>F48/F49</f>
        <v>1</v>
      </c>
      <c r="I48" s="224"/>
    </row>
    <row r="49" spans="1:9" ht="15" customHeight="1">
      <c r="A49" s="14" t="s">
        <v>44</v>
      </c>
      <c r="B49" s="239">
        <f aca="true" t="shared" si="0" ref="B49:H49">SUM(B47:B48)</f>
        <v>3193</v>
      </c>
      <c r="C49" s="240">
        <f t="shared" si="0"/>
        <v>159196.7</v>
      </c>
      <c r="D49" s="241">
        <f t="shared" si="0"/>
        <v>200.01</v>
      </c>
      <c r="E49" s="240">
        <f t="shared" si="0"/>
        <v>12697</v>
      </c>
      <c r="F49" s="242">
        <f t="shared" si="0"/>
        <v>633063.3</v>
      </c>
      <c r="G49" s="241">
        <f t="shared" si="0"/>
        <v>208.78</v>
      </c>
      <c r="H49" s="243">
        <f t="shared" si="0"/>
        <v>1</v>
      </c>
      <c r="I49" s="224"/>
    </row>
    <row r="50" spans="1:9" ht="15" customHeight="1">
      <c r="A50" s="138"/>
      <c r="B50" s="138"/>
      <c r="C50" s="154"/>
      <c r="D50" s="153"/>
      <c r="E50" s="160"/>
      <c r="F50" s="161"/>
      <c r="G50" s="138"/>
      <c r="H50" s="14"/>
      <c r="I50" s="15"/>
    </row>
    <row r="51" spans="1:9" ht="15" customHeight="1">
      <c r="A51" s="138"/>
      <c r="B51" s="138"/>
      <c r="C51" s="154"/>
      <c r="D51" s="153"/>
      <c r="E51" s="160"/>
      <c r="F51" s="161"/>
      <c r="G51" s="138"/>
      <c r="H51" s="14"/>
      <c r="I51" s="15"/>
    </row>
    <row r="52" spans="1:9" ht="15" customHeight="1">
      <c r="A52" s="138"/>
      <c r="B52" s="138"/>
      <c r="C52" s="154"/>
      <c r="D52" s="153"/>
      <c r="E52" s="160"/>
      <c r="F52" s="161"/>
      <c r="G52" s="138"/>
      <c r="H52" s="14"/>
      <c r="I52" s="15"/>
    </row>
    <row r="53" spans="1:9" ht="15" customHeight="1">
      <c r="A53" s="138"/>
      <c r="B53" s="138"/>
      <c r="C53" s="154"/>
      <c r="D53" s="153"/>
      <c r="E53" s="160"/>
      <c r="F53" s="161"/>
      <c r="G53" s="138"/>
      <c r="H53" s="14"/>
      <c r="I53" s="15"/>
    </row>
    <row r="54" spans="1:9" ht="15" customHeight="1">
      <c r="A54" s="138"/>
      <c r="B54" s="138"/>
      <c r="C54" s="154"/>
      <c r="D54" s="153"/>
      <c r="E54" s="160"/>
      <c r="F54" s="161"/>
      <c r="G54" s="138"/>
      <c r="H54" s="14"/>
      <c r="I54" s="15"/>
    </row>
    <row r="55" spans="1:9" ht="15" customHeight="1">
      <c r="A55" s="138"/>
      <c r="B55" s="138"/>
      <c r="C55" s="154"/>
      <c r="D55" s="153"/>
      <c r="E55" s="160"/>
      <c r="F55" s="161"/>
      <c r="G55" s="138"/>
      <c r="H55" s="14"/>
      <c r="I55" s="15"/>
    </row>
    <row r="56" spans="1:9" ht="15" customHeight="1">
      <c r="A56" s="138"/>
      <c r="B56" s="138"/>
      <c r="C56" s="154"/>
      <c r="D56" s="153"/>
      <c r="E56" s="160"/>
      <c r="F56" s="161"/>
      <c r="G56" s="138"/>
      <c r="H56" s="14"/>
      <c r="I56" s="15"/>
    </row>
    <row r="57" spans="1:9" ht="15" customHeight="1">
      <c r="A57" s="138"/>
      <c r="B57" s="138"/>
      <c r="C57" s="154"/>
      <c r="D57" s="153"/>
      <c r="E57" s="160"/>
      <c r="F57" s="161"/>
      <c r="G57" s="138"/>
      <c r="H57" s="14"/>
      <c r="I57" s="15"/>
    </row>
    <row r="58" spans="1:9" ht="15" customHeight="1">
      <c r="A58" s="138"/>
      <c r="B58" s="138"/>
      <c r="C58" s="154"/>
      <c r="D58" s="153"/>
      <c r="E58" s="160"/>
      <c r="F58" s="161"/>
      <c r="G58" s="138"/>
      <c r="H58" s="14"/>
      <c r="I58" s="15"/>
    </row>
    <row r="59" spans="1:9" ht="15" customHeight="1">
      <c r="A59" s="138"/>
      <c r="B59" s="138"/>
      <c r="C59" s="154"/>
      <c r="D59" s="153"/>
      <c r="E59" s="160"/>
      <c r="F59" s="161"/>
      <c r="G59" s="138"/>
      <c r="H59" s="14"/>
      <c r="I59" s="15"/>
    </row>
    <row r="60" spans="1:9" ht="15" customHeight="1">
      <c r="A60" s="138"/>
      <c r="B60" s="138"/>
      <c r="C60" s="154"/>
      <c r="D60" s="153"/>
      <c r="E60" s="160"/>
      <c r="F60" s="161"/>
      <c r="G60" s="138"/>
      <c r="H60" s="14"/>
      <c r="I60" s="15"/>
    </row>
    <row r="61" spans="1:9" ht="15" customHeight="1">
      <c r="A61" s="138"/>
      <c r="B61" s="138"/>
      <c r="C61" s="154"/>
      <c r="D61" s="153"/>
      <c r="E61" s="160"/>
      <c r="F61" s="161"/>
      <c r="G61" s="138"/>
      <c r="H61" s="14"/>
      <c r="I61" s="15"/>
    </row>
    <row r="62" spans="1:9" ht="15" customHeight="1">
      <c r="A62" s="138"/>
      <c r="B62" s="138"/>
      <c r="C62" s="154"/>
      <c r="D62" s="153"/>
      <c r="E62" s="160"/>
      <c r="F62" s="161"/>
      <c r="G62" s="138"/>
      <c r="H62" s="14"/>
      <c r="I62" s="15"/>
    </row>
    <row r="63" spans="1:9" ht="15" customHeight="1">
      <c r="A63" s="138"/>
      <c r="B63" s="138"/>
      <c r="C63" s="154"/>
      <c r="D63" s="153"/>
      <c r="E63" s="160"/>
      <c r="F63" s="161"/>
      <c r="G63" s="138"/>
      <c r="H63" s="14"/>
      <c r="I63" s="15"/>
    </row>
    <row r="64" spans="1:9" ht="15" customHeight="1">
      <c r="A64" s="141"/>
      <c r="B64" s="138"/>
      <c r="C64" s="164"/>
      <c r="D64" s="165"/>
      <c r="E64" s="166"/>
      <c r="F64" s="165"/>
      <c r="G64" s="138"/>
      <c r="H64" s="14"/>
      <c r="I64" s="15"/>
    </row>
    <row r="65" spans="1:9" ht="15" customHeight="1">
      <c r="A65" s="141"/>
      <c r="B65" s="138"/>
      <c r="C65" s="166"/>
      <c r="D65" s="165"/>
      <c r="E65" s="166"/>
      <c r="F65" s="167"/>
      <c r="G65" s="138"/>
      <c r="H65" s="14"/>
      <c r="I65" s="15"/>
    </row>
    <row r="66" spans="1:9" ht="15" customHeight="1">
      <c r="A66" s="141"/>
      <c r="B66" s="138"/>
      <c r="C66" s="155"/>
      <c r="D66" s="158"/>
      <c r="E66" s="155"/>
      <c r="F66" s="153"/>
      <c r="G66" s="138"/>
      <c r="H66" s="14"/>
      <c r="I66" s="15"/>
    </row>
    <row r="67" spans="1:9" ht="15" customHeight="1">
      <c r="A67" s="139"/>
      <c r="B67" s="138"/>
      <c r="C67" s="166"/>
      <c r="D67" s="168"/>
      <c r="E67" s="166"/>
      <c r="F67" s="169"/>
      <c r="G67" s="138"/>
      <c r="H67" s="14"/>
      <c r="I67" s="15"/>
    </row>
    <row r="68" spans="1:9" ht="15" customHeight="1">
      <c r="A68" s="141"/>
      <c r="B68" s="138"/>
      <c r="C68" s="155"/>
      <c r="D68" s="158"/>
      <c r="E68" s="166"/>
      <c r="F68" s="167"/>
      <c r="G68" s="138"/>
      <c r="H68" s="14"/>
      <c r="I68" s="15"/>
    </row>
    <row r="69" spans="1:9" ht="15" customHeight="1">
      <c r="A69" s="141"/>
      <c r="B69" s="138"/>
      <c r="C69" s="166"/>
      <c r="D69" s="165"/>
      <c r="E69" s="166"/>
      <c r="F69" s="167"/>
      <c r="G69" s="138"/>
      <c r="H69" s="14"/>
      <c r="I69" s="15"/>
    </row>
    <row r="70" spans="1:9" ht="15" customHeight="1">
      <c r="A70" s="141"/>
      <c r="B70" s="138"/>
      <c r="C70" s="166"/>
      <c r="D70" s="165"/>
      <c r="E70" s="166"/>
      <c r="F70" s="167"/>
      <c r="G70" s="138"/>
      <c r="H70" s="14"/>
      <c r="I70" s="15"/>
    </row>
    <row r="71" spans="1:9" ht="15" customHeight="1">
      <c r="A71" s="141"/>
      <c r="B71" s="138"/>
      <c r="C71" s="155"/>
      <c r="D71" s="158"/>
      <c r="E71" s="155"/>
      <c r="F71" s="153"/>
      <c r="G71" s="138"/>
      <c r="H71" s="14"/>
      <c r="I71" s="18"/>
    </row>
    <row r="72" spans="1:9" ht="15" customHeight="1">
      <c r="A72" s="141"/>
      <c r="B72" s="138"/>
      <c r="C72" s="166"/>
      <c r="D72" s="158"/>
      <c r="E72" s="155"/>
      <c r="F72" s="167"/>
      <c r="G72" s="138"/>
      <c r="H72" s="54"/>
      <c r="I72" s="12"/>
    </row>
    <row r="73" spans="1:9" ht="15" customHeight="1">
      <c r="A73" s="139"/>
      <c r="B73" s="140"/>
      <c r="C73" s="170"/>
      <c r="D73" s="171"/>
      <c r="E73" s="170"/>
      <c r="F73" s="163"/>
      <c r="G73" s="140"/>
      <c r="H73" s="172"/>
      <c r="I73" s="12"/>
    </row>
    <row r="74" spans="1:9" ht="15" customHeight="1">
      <c r="A74" s="141"/>
      <c r="B74" s="157"/>
      <c r="C74" s="155"/>
      <c r="D74" s="158"/>
      <c r="E74" s="155"/>
      <c r="F74" s="154"/>
      <c r="G74" s="156"/>
      <c r="H74" s="175"/>
      <c r="I74" s="12"/>
    </row>
    <row r="75" spans="1:9" ht="15" customHeight="1">
      <c r="A75" s="141"/>
      <c r="B75" s="173"/>
      <c r="C75" s="166"/>
      <c r="D75" s="165"/>
      <c r="E75" s="166"/>
      <c r="F75" s="164"/>
      <c r="G75" s="174"/>
      <c r="H75" s="176"/>
      <c r="I75" s="12"/>
    </row>
    <row r="76" spans="1:9" ht="15" customHeight="1">
      <c r="A76" s="141"/>
      <c r="B76" s="173"/>
      <c r="C76" s="166"/>
      <c r="D76" s="165"/>
      <c r="E76" s="166"/>
      <c r="F76" s="164"/>
      <c r="G76" s="174"/>
      <c r="H76" s="57"/>
      <c r="I76" s="12"/>
    </row>
    <row r="77" spans="1:9" ht="15" customHeight="1">
      <c r="A77" s="141"/>
      <c r="B77" s="138"/>
      <c r="C77" s="142"/>
      <c r="D77" s="158"/>
      <c r="E77" s="155"/>
      <c r="F77" s="153"/>
      <c r="G77" s="138"/>
      <c r="H77" s="57"/>
      <c r="I77" s="12"/>
    </row>
    <row r="78" spans="1:8" ht="15" customHeight="1">
      <c r="A78" s="141"/>
      <c r="B78" s="138"/>
      <c r="C78" s="142"/>
      <c r="D78" s="158"/>
      <c r="E78" s="155"/>
      <c r="F78" s="153"/>
      <c r="G78" s="138"/>
      <c r="H78" s="56"/>
    </row>
    <row r="79" spans="1:8" ht="15" customHeight="1">
      <c r="A79" s="141"/>
      <c r="B79" s="138"/>
      <c r="C79" s="142"/>
      <c r="D79" s="158"/>
      <c r="E79" s="155"/>
      <c r="F79" s="153"/>
      <c r="G79" s="138"/>
      <c r="H79" s="56"/>
    </row>
    <row r="80" spans="1:8" ht="15" customHeight="1">
      <c r="A80" s="141"/>
      <c r="B80" s="138"/>
      <c r="C80" s="142"/>
      <c r="D80" s="158"/>
      <c r="E80" s="155"/>
      <c r="F80" s="153"/>
      <c r="G80" s="138"/>
      <c r="H80" s="56"/>
    </row>
    <row r="81" spans="1:8" ht="15" customHeight="1">
      <c r="A81" s="141"/>
      <c r="B81" s="138"/>
      <c r="C81" s="142"/>
      <c r="D81" s="158"/>
      <c r="E81" s="155"/>
      <c r="F81" s="153"/>
      <c r="G81" s="138"/>
      <c r="H81" s="56"/>
    </row>
    <row r="82" spans="1:8" ht="15" customHeight="1">
      <c r="A82" s="141"/>
      <c r="B82" s="138"/>
      <c r="C82" s="142"/>
      <c r="D82" s="158"/>
      <c r="E82" s="155"/>
      <c r="F82" s="153"/>
      <c r="G82" s="138"/>
      <c r="H82" s="56"/>
    </row>
    <row r="83" spans="1:8" ht="15" customHeight="1">
      <c r="A83" s="141"/>
      <c r="B83" s="138"/>
      <c r="C83" s="142"/>
      <c r="D83" s="158"/>
      <c r="E83" s="155"/>
      <c r="F83" s="153"/>
      <c r="G83" s="138"/>
      <c r="H83" s="56"/>
    </row>
    <row r="84" spans="1:8" ht="15" customHeight="1">
      <c r="A84" s="143"/>
      <c r="B84" s="144"/>
      <c r="C84" s="145"/>
      <c r="D84" s="150"/>
      <c r="E84" s="151"/>
      <c r="F84" s="150"/>
      <c r="G84" s="138"/>
      <c r="H84" s="56"/>
    </row>
    <row r="85" spans="1:8" ht="15" customHeight="1">
      <c r="A85" s="143"/>
      <c r="B85" s="144"/>
      <c r="C85" s="145"/>
      <c r="D85" s="150"/>
      <c r="E85" s="151"/>
      <c r="F85" s="150"/>
      <c r="G85" s="138"/>
      <c r="H85" s="56"/>
    </row>
    <row r="86" spans="1:8" ht="15" customHeight="1">
      <c r="A86" s="146"/>
      <c r="B86" s="144"/>
      <c r="C86" s="145"/>
      <c r="D86" s="159"/>
      <c r="E86" s="151"/>
      <c r="F86" s="150"/>
      <c r="G86" s="138"/>
      <c r="H86" s="56"/>
    </row>
    <row r="87" spans="1:8" ht="15" customHeight="1">
      <c r="A87" s="143"/>
      <c r="B87" s="144"/>
      <c r="C87" s="147"/>
      <c r="D87" s="149"/>
      <c r="E87" s="151"/>
      <c r="F87" s="150"/>
      <c r="G87" s="138"/>
      <c r="H87" s="56"/>
    </row>
    <row r="88" spans="1:8" ht="15" customHeight="1">
      <c r="A88" s="143"/>
      <c r="B88" s="144"/>
      <c r="C88" s="145"/>
      <c r="D88" s="150"/>
      <c r="E88" s="151"/>
      <c r="F88" s="150"/>
      <c r="G88" s="138"/>
      <c r="H88" s="56"/>
    </row>
    <row r="89" spans="1:8" ht="15" customHeight="1">
      <c r="A89" s="143"/>
      <c r="B89" s="144"/>
      <c r="C89" s="148"/>
      <c r="D89" s="150"/>
      <c r="E89" s="151"/>
      <c r="F89" s="150"/>
      <c r="G89" s="138"/>
      <c r="H89" s="56"/>
    </row>
    <row r="90" spans="1:8" ht="15" customHeight="1">
      <c r="A90" s="13"/>
      <c r="B90" s="13"/>
      <c r="C90" s="55"/>
      <c r="D90" s="56"/>
      <c r="E90" s="55"/>
      <c r="F90" s="162"/>
      <c r="G90" s="56"/>
      <c r="H90" s="56"/>
    </row>
    <row r="91" spans="1:8" ht="15" customHeight="1">
      <c r="A91" s="13"/>
      <c r="B91" s="13"/>
      <c r="C91" s="55"/>
      <c r="D91" s="56"/>
      <c r="E91" s="55"/>
      <c r="F91" s="56"/>
      <c r="G91" s="56"/>
      <c r="H91" s="56"/>
    </row>
    <row r="92" spans="1:8" ht="15" customHeight="1">
      <c r="A92" s="13"/>
      <c r="B92" s="13"/>
      <c r="C92" s="55"/>
      <c r="D92" s="56"/>
      <c r="E92" s="55"/>
      <c r="F92" s="56"/>
      <c r="G92" s="56"/>
      <c r="H92" s="56"/>
    </row>
  </sheetData>
  <sheetProtection/>
  <mergeCells count="1">
    <mergeCell ref="C7:D7"/>
  </mergeCells>
  <printOptions/>
  <pageMargins left="0.67" right="0.45" top="0.5" bottom="0.25" header="0.34" footer="0.3"/>
  <pageSetup horizontalDpi="600" verticalDpi="600" orientation="portrait" scale="8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26" sqref="F26"/>
    </sheetView>
  </sheetViews>
  <sheetFormatPr defaultColWidth="9.140625" defaultRowHeight="18" customHeight="1"/>
  <cols>
    <col min="1" max="1" width="20.140625" style="0" customWidth="1"/>
    <col min="3" max="3" width="11.28125" style="0" customWidth="1"/>
    <col min="4" max="4" width="12.28125" style="0" customWidth="1"/>
    <col min="5" max="5" width="15.8515625" style="0" customWidth="1"/>
    <col min="6" max="6" width="13.7109375" style="0" customWidth="1"/>
  </cols>
  <sheetData>
    <row r="1" spans="1:8" ht="15.75" customHeight="1">
      <c r="A1" s="58" t="s">
        <v>35</v>
      </c>
      <c r="B1" s="8"/>
      <c r="C1" s="8"/>
      <c r="D1" s="8"/>
      <c r="E1" s="8"/>
      <c r="F1" s="8"/>
      <c r="G1" s="2"/>
      <c r="H1" s="2"/>
    </row>
    <row r="2" spans="1:8" ht="15.75" customHeight="1">
      <c r="A2" s="59" t="s">
        <v>428</v>
      </c>
      <c r="B2" s="8"/>
      <c r="C2" s="8"/>
      <c r="D2" s="8"/>
      <c r="E2" s="8"/>
      <c r="F2" s="8"/>
      <c r="G2" s="2"/>
      <c r="H2" s="2"/>
    </row>
    <row r="3" spans="1:8" ht="15.75" customHeight="1">
      <c r="A3" s="59"/>
      <c r="B3" s="8"/>
      <c r="C3" s="8"/>
      <c r="D3" s="8"/>
      <c r="E3" s="8"/>
      <c r="F3" s="8"/>
      <c r="G3" s="2"/>
      <c r="H3" s="2"/>
    </row>
    <row r="4" spans="1:8" ht="15.75" customHeight="1">
      <c r="A4" s="858" t="s">
        <v>5</v>
      </c>
      <c r="B4" s="858"/>
      <c r="C4" s="8"/>
      <c r="D4" s="8"/>
      <c r="E4" s="8"/>
      <c r="F4" s="8"/>
      <c r="G4" s="2"/>
      <c r="H4" s="2"/>
    </row>
    <row r="5" spans="1:8" ht="15.75" customHeight="1">
      <c r="A5" s="858" t="s">
        <v>6</v>
      </c>
      <c r="B5" s="858"/>
      <c r="C5" s="858"/>
      <c r="D5" s="60"/>
      <c r="E5" s="8"/>
      <c r="F5" s="8"/>
      <c r="G5" s="2"/>
      <c r="H5" s="2"/>
    </row>
    <row r="6" spans="1:8" ht="15.75" customHeight="1">
      <c r="A6" s="858" t="s">
        <v>7</v>
      </c>
      <c r="B6" s="858"/>
      <c r="C6" s="858"/>
      <c r="D6" s="58"/>
      <c r="E6" s="58"/>
      <c r="F6" s="8"/>
      <c r="G6" s="2"/>
      <c r="H6" s="2"/>
    </row>
    <row r="7" spans="1:8" ht="15.75" customHeight="1">
      <c r="A7" s="58" t="s">
        <v>276</v>
      </c>
      <c r="B7" s="8"/>
      <c r="C7" s="8"/>
      <c r="D7" s="8"/>
      <c r="E7" s="8"/>
      <c r="F7" s="8"/>
      <c r="G7" s="2"/>
      <c r="H7" s="2"/>
    </row>
    <row r="8" spans="1:8" ht="15.75" customHeight="1">
      <c r="A8" s="9"/>
      <c r="B8" s="8"/>
      <c r="C8" s="61" t="s">
        <v>317</v>
      </c>
      <c r="D8" s="9"/>
      <c r="E8" s="9"/>
      <c r="F8" s="9"/>
      <c r="G8" s="2"/>
      <c r="H8" s="2"/>
    </row>
    <row r="9" spans="1:8" ht="15.75" customHeight="1">
      <c r="A9" s="8" t="s">
        <v>8</v>
      </c>
      <c r="B9" s="8"/>
      <c r="C9" s="8"/>
      <c r="D9" s="8"/>
      <c r="E9" s="8"/>
      <c r="F9" s="8"/>
      <c r="G9" s="2"/>
      <c r="H9" s="2"/>
    </row>
    <row r="10" spans="1:8" ht="15.75" customHeight="1">
      <c r="A10" s="9" t="s">
        <v>9</v>
      </c>
      <c r="B10" s="9"/>
      <c r="C10" s="9"/>
      <c r="D10" s="9"/>
      <c r="E10" s="9"/>
      <c r="F10" s="9"/>
      <c r="G10" s="2"/>
      <c r="H10" s="2"/>
    </row>
    <row r="11" spans="1:8" s="177" customFormat="1" ht="15.75" customHeight="1">
      <c r="A11" s="9"/>
      <c r="B11" s="9"/>
      <c r="C11" s="9"/>
      <c r="D11" s="9"/>
      <c r="E11" s="9"/>
      <c r="F11" s="9"/>
      <c r="G11" s="2"/>
      <c r="H11" s="2"/>
    </row>
    <row r="12" spans="1:8" ht="15.75" customHeight="1">
      <c r="A12" s="61" t="s">
        <v>36</v>
      </c>
      <c r="B12" s="190"/>
      <c r="C12" s="190" t="s">
        <v>10</v>
      </c>
      <c r="D12" s="190" t="s">
        <v>0</v>
      </c>
      <c r="E12" s="190" t="s">
        <v>34</v>
      </c>
      <c r="F12" s="190" t="s">
        <v>1</v>
      </c>
      <c r="G12" s="2"/>
      <c r="H12" s="2"/>
    </row>
    <row r="13" spans="1:8" ht="15.75" customHeight="1">
      <c r="A13" s="8" t="s">
        <v>11</v>
      </c>
      <c r="B13" s="10" t="s">
        <v>12</v>
      </c>
      <c r="C13" s="186">
        <v>2489</v>
      </c>
      <c r="D13" s="62">
        <v>124067.5</v>
      </c>
      <c r="E13" s="63">
        <v>24223030.5</v>
      </c>
      <c r="F13" s="64">
        <f>E13/D13</f>
        <v>195.2407399198017</v>
      </c>
      <c r="G13" s="2"/>
      <c r="H13" s="2"/>
    </row>
    <row r="14" spans="1:8" ht="15.75" customHeight="1">
      <c r="A14" s="8" t="s">
        <v>13</v>
      </c>
      <c r="B14" s="10" t="s">
        <v>12</v>
      </c>
      <c r="C14" s="65">
        <v>704</v>
      </c>
      <c r="D14" s="66">
        <v>35129.2</v>
      </c>
      <c r="E14" s="67">
        <v>7617665.9</v>
      </c>
      <c r="F14" s="64">
        <f>E14/D14</f>
        <v>216.84712148298286</v>
      </c>
      <c r="G14" s="2"/>
      <c r="H14" s="2"/>
    </row>
    <row r="15" spans="1:8" ht="15.75" customHeight="1">
      <c r="A15" s="8" t="s">
        <v>14</v>
      </c>
      <c r="B15" s="10"/>
      <c r="C15" s="187">
        <f>C13+C14</f>
        <v>3193</v>
      </c>
      <c r="D15" s="68">
        <f>D13+D14</f>
        <v>159196.7</v>
      </c>
      <c r="E15" s="188">
        <f>E13+E14</f>
        <v>31840696.4</v>
      </c>
      <c r="F15" s="69">
        <f>E15/D15</f>
        <v>200.00852027711628</v>
      </c>
      <c r="G15" s="2"/>
      <c r="H15" s="2"/>
    </row>
    <row r="16" spans="1:8" s="177" customFormat="1" ht="15.75" customHeight="1">
      <c r="A16" s="8"/>
      <c r="B16" s="10"/>
      <c r="C16" s="198"/>
      <c r="D16" s="71"/>
      <c r="E16" s="72"/>
      <c r="F16" s="73"/>
      <c r="G16" s="2"/>
      <c r="H16" s="2"/>
    </row>
    <row r="17" spans="1:8" ht="15.75" customHeight="1">
      <c r="A17" s="61" t="s">
        <v>15</v>
      </c>
      <c r="B17" s="190"/>
      <c r="C17" s="190" t="s">
        <v>10</v>
      </c>
      <c r="D17" s="191" t="s">
        <v>0</v>
      </c>
      <c r="E17" s="190" t="s">
        <v>34</v>
      </c>
      <c r="F17" s="192" t="s">
        <v>1</v>
      </c>
      <c r="G17" s="2"/>
      <c r="H17" s="2"/>
    </row>
    <row r="18" spans="1:8" ht="15.75" customHeight="1">
      <c r="A18" s="8" t="s">
        <v>11</v>
      </c>
      <c r="B18" s="10" t="s">
        <v>16</v>
      </c>
      <c r="C18" s="70"/>
      <c r="D18" s="71"/>
      <c r="E18" s="72"/>
      <c r="F18" s="73" t="e">
        <f>E18/D18</f>
        <v>#DIV/0!</v>
      </c>
      <c r="G18" s="2"/>
      <c r="H18" s="2"/>
    </row>
    <row r="19" spans="1:8" ht="15.75" customHeight="1">
      <c r="A19" s="8" t="s">
        <v>14</v>
      </c>
      <c r="B19" s="10"/>
      <c r="C19" s="74">
        <f>SUM(C18)</f>
        <v>0</v>
      </c>
      <c r="D19" s="66">
        <f>SUM(D18)</f>
        <v>0</v>
      </c>
      <c r="E19" s="75">
        <f>SUM(E18)</f>
        <v>0</v>
      </c>
      <c r="F19" s="76" t="e">
        <f>E19/D19</f>
        <v>#DIV/0!</v>
      </c>
      <c r="G19" s="2"/>
      <c r="H19" s="2"/>
    </row>
    <row r="20" spans="1:8" ht="15.75" customHeight="1">
      <c r="A20" s="8" t="s">
        <v>32</v>
      </c>
      <c r="B20" s="10"/>
      <c r="C20" s="77">
        <f>C19+C15</f>
        <v>3193</v>
      </c>
      <c r="D20" s="68">
        <f>D19+D15</f>
        <v>159196.7</v>
      </c>
      <c r="E20" s="78">
        <f>E19+E15</f>
        <v>31840696.4</v>
      </c>
      <c r="F20" s="69">
        <f>E20/D20</f>
        <v>200.00852027711628</v>
      </c>
      <c r="G20" s="2"/>
      <c r="H20" s="2"/>
    </row>
    <row r="21" spans="1:8" ht="15.75" customHeight="1">
      <c r="A21" s="8"/>
      <c r="B21" s="10"/>
      <c r="C21" s="79"/>
      <c r="D21" s="71"/>
      <c r="E21" s="72"/>
      <c r="F21" s="73"/>
      <c r="G21" s="2"/>
      <c r="H21" s="2"/>
    </row>
    <row r="22" spans="1:8" ht="15.75" customHeight="1">
      <c r="A22" s="61" t="s">
        <v>37</v>
      </c>
      <c r="B22" s="190"/>
      <c r="C22" s="190" t="s">
        <v>10</v>
      </c>
      <c r="D22" s="191" t="s">
        <v>0</v>
      </c>
      <c r="E22" s="190" t="s">
        <v>34</v>
      </c>
      <c r="F22" s="192" t="s">
        <v>1</v>
      </c>
      <c r="G22" s="2"/>
      <c r="H22" s="2"/>
    </row>
    <row r="23" spans="1:8" ht="15.75" customHeight="1">
      <c r="A23" s="8" t="s">
        <v>11</v>
      </c>
      <c r="B23" s="10" t="s">
        <v>12</v>
      </c>
      <c r="C23" s="83"/>
      <c r="D23" s="62"/>
      <c r="E23" s="63"/>
      <c r="F23" s="64"/>
      <c r="G23" s="2"/>
      <c r="H23" s="2"/>
    </row>
    <row r="24" spans="1:8" ht="15.75" customHeight="1">
      <c r="A24" s="8" t="s">
        <v>13</v>
      </c>
      <c r="B24" s="10" t="s">
        <v>12</v>
      </c>
      <c r="C24" s="84"/>
      <c r="D24" s="66"/>
      <c r="E24" s="67"/>
      <c r="F24" s="76"/>
      <c r="G24" s="2"/>
      <c r="H24" s="2"/>
    </row>
    <row r="25" spans="1:8" ht="15.75" customHeight="1">
      <c r="A25" s="8" t="s">
        <v>14</v>
      </c>
      <c r="B25" s="10"/>
      <c r="C25" s="74">
        <f>C23+C24</f>
        <v>0</v>
      </c>
      <c r="D25" s="66">
        <f>D23+D24</f>
        <v>0</v>
      </c>
      <c r="E25" s="67">
        <f>E23+E24</f>
        <v>0</v>
      </c>
      <c r="F25" s="76"/>
      <c r="G25" s="2"/>
      <c r="H25" s="2"/>
    </row>
    <row r="26" spans="1:8" ht="15.75" customHeight="1">
      <c r="A26" s="8"/>
      <c r="B26" s="10"/>
      <c r="C26" s="79"/>
      <c r="D26" s="71"/>
      <c r="E26" s="72"/>
      <c r="F26" s="73"/>
      <c r="G26" s="2"/>
      <c r="H26" s="2"/>
    </row>
    <row r="27" spans="1:8" ht="15.75" customHeight="1">
      <c r="A27" s="58" t="s">
        <v>38</v>
      </c>
      <c r="B27" s="80"/>
      <c r="C27" s="80" t="s">
        <v>10</v>
      </c>
      <c r="D27" s="81" t="s">
        <v>0</v>
      </c>
      <c r="E27" s="80" t="s">
        <v>34</v>
      </c>
      <c r="F27" s="82" t="s">
        <v>1</v>
      </c>
      <c r="G27" s="2"/>
      <c r="H27" s="2"/>
    </row>
    <row r="28" spans="1:8" ht="15.75" customHeight="1">
      <c r="A28" s="8" t="s">
        <v>11</v>
      </c>
      <c r="B28" s="10" t="s">
        <v>12</v>
      </c>
      <c r="C28" s="70"/>
      <c r="D28" s="71"/>
      <c r="E28" s="72"/>
      <c r="F28" s="73" t="e">
        <f>E28/D28</f>
        <v>#DIV/0!</v>
      </c>
      <c r="G28" s="2"/>
      <c r="H28" s="2"/>
    </row>
    <row r="29" spans="1:8" ht="15.75" customHeight="1">
      <c r="A29" s="8" t="s">
        <v>13</v>
      </c>
      <c r="B29" s="10" t="s">
        <v>12</v>
      </c>
      <c r="C29" s="70"/>
      <c r="D29" s="71"/>
      <c r="E29" s="72"/>
      <c r="F29" s="73" t="e">
        <f>E29/D29</f>
        <v>#DIV/0!</v>
      </c>
      <c r="G29" s="2"/>
      <c r="H29" s="2"/>
    </row>
    <row r="30" spans="1:8" ht="15.75" customHeight="1">
      <c r="A30" s="8" t="s">
        <v>14</v>
      </c>
      <c r="B30" s="10"/>
      <c r="C30" s="79">
        <f>C28+C29</f>
        <v>0</v>
      </c>
      <c r="D30" s="71">
        <f>D28+D29</f>
        <v>0</v>
      </c>
      <c r="E30" s="193">
        <f>E28+E29</f>
        <v>0</v>
      </c>
      <c r="F30" s="73" t="e">
        <f>E30/D30</f>
        <v>#DIV/0!</v>
      </c>
      <c r="G30" s="2"/>
      <c r="H30" s="2"/>
    </row>
    <row r="31" spans="1:8" s="177" customFormat="1" ht="15.75" customHeight="1">
      <c r="A31" s="8"/>
      <c r="B31" s="10"/>
      <c r="C31" s="79"/>
      <c r="D31" s="71"/>
      <c r="E31" s="193"/>
      <c r="F31" s="73"/>
      <c r="G31" s="2"/>
      <c r="H31" s="2"/>
    </row>
    <row r="32" spans="1:8" ht="15.75" customHeight="1">
      <c r="A32" s="8" t="s">
        <v>29</v>
      </c>
      <c r="B32" s="10" t="s">
        <v>16</v>
      </c>
      <c r="C32" s="70"/>
      <c r="D32" s="71"/>
      <c r="E32" s="72"/>
      <c r="F32" s="73"/>
      <c r="G32" s="2"/>
      <c r="H32" s="2"/>
    </row>
    <row r="33" spans="1:8" ht="15.75" customHeight="1">
      <c r="A33" s="8" t="s">
        <v>14</v>
      </c>
      <c r="B33" s="10"/>
      <c r="C33" s="74">
        <f>C28+C29+C32</f>
        <v>0</v>
      </c>
      <c r="D33" s="66">
        <f>D28+D29+D32</f>
        <v>0</v>
      </c>
      <c r="E33" s="75">
        <f>E28+E29+E32</f>
        <v>0</v>
      </c>
      <c r="F33" s="64" t="e">
        <f>E33/D33</f>
        <v>#DIV/0!</v>
      </c>
      <c r="G33" s="2"/>
      <c r="H33" s="2"/>
    </row>
    <row r="34" spans="1:8" ht="15.75" customHeight="1">
      <c r="A34" s="8" t="s">
        <v>17</v>
      </c>
      <c r="B34" s="10"/>
      <c r="C34" s="77">
        <f>C33+C15+C19+C25</f>
        <v>3193</v>
      </c>
      <c r="D34" s="68">
        <f>D33+D15+D19+D25</f>
        <v>159196.7</v>
      </c>
      <c r="E34" s="78">
        <f>E15+E19+E25+E30+E32</f>
        <v>31840696.4</v>
      </c>
      <c r="F34" s="69">
        <f>E34/D34</f>
        <v>200.00852027711628</v>
      </c>
      <c r="G34" s="2"/>
      <c r="H34" s="2"/>
    </row>
    <row r="35" spans="1:8" ht="15.75" customHeight="1">
      <c r="A35" s="8"/>
      <c r="B35" s="10"/>
      <c r="C35" s="79"/>
      <c r="D35" s="11"/>
      <c r="E35" s="85"/>
      <c r="F35" s="86"/>
      <c r="G35" s="2"/>
      <c r="H35" s="2"/>
    </row>
    <row r="36" spans="1:8" ht="15.75" customHeight="1">
      <c r="A36" s="58"/>
      <c r="B36" s="80"/>
      <c r="C36" s="194"/>
      <c r="D36" s="195" t="s">
        <v>315</v>
      </c>
      <c r="E36" s="196"/>
      <c r="F36" s="197"/>
      <c r="G36" s="2"/>
      <c r="H36" s="2"/>
    </row>
    <row r="37" spans="1:8" ht="15.75" customHeight="1">
      <c r="A37" s="58" t="s">
        <v>18</v>
      </c>
      <c r="B37" s="58"/>
      <c r="C37" s="80" t="s">
        <v>10</v>
      </c>
      <c r="D37" s="80" t="s">
        <v>0</v>
      </c>
      <c r="E37" s="88" t="s">
        <v>1</v>
      </c>
      <c r="F37" s="88" t="s">
        <v>2</v>
      </c>
      <c r="G37" s="2"/>
      <c r="H37" s="2"/>
    </row>
    <row r="38" spans="1:8" ht="15.75" customHeight="1">
      <c r="A38" s="60" t="s">
        <v>19</v>
      </c>
      <c r="B38" s="8"/>
      <c r="C38" s="89"/>
      <c r="D38" s="90"/>
      <c r="E38" s="91"/>
      <c r="F38" s="92">
        <f>D38/D40</f>
        <v>0</v>
      </c>
      <c r="G38" s="2"/>
      <c r="H38" s="2"/>
    </row>
    <row r="39" spans="1:8" ht="15.75" customHeight="1">
      <c r="A39" s="60" t="s">
        <v>30</v>
      </c>
      <c r="B39" s="8"/>
      <c r="C39" s="87">
        <v>3193</v>
      </c>
      <c r="D39" s="93">
        <v>159196.7</v>
      </c>
      <c r="E39" s="94">
        <v>200.01</v>
      </c>
      <c r="F39" s="95">
        <f>D39/D40</f>
        <v>1</v>
      </c>
      <c r="G39" s="2"/>
      <c r="H39" s="2"/>
    </row>
    <row r="40" spans="1:8" ht="15.75" customHeight="1">
      <c r="A40" s="96" t="s">
        <v>20</v>
      </c>
      <c r="B40" s="97"/>
      <c r="C40" s="98">
        <f>SUM(C38:C39)</f>
        <v>3193</v>
      </c>
      <c r="D40" s="99">
        <f>SUM(D38:D39)</f>
        <v>159196.7</v>
      </c>
      <c r="E40" s="189">
        <v>200.01</v>
      </c>
      <c r="F40" s="100">
        <f>SUM(F38:F39)</f>
        <v>1</v>
      </c>
      <c r="G40" s="2"/>
      <c r="H40" s="2"/>
    </row>
    <row r="41" spans="1:8" ht="15.75" customHeight="1">
      <c r="A41" s="58"/>
      <c r="B41" s="8"/>
      <c r="C41" s="87"/>
      <c r="D41" s="93"/>
      <c r="E41" s="101"/>
      <c r="F41" s="95"/>
      <c r="G41" s="2"/>
      <c r="H41" s="2"/>
    </row>
    <row r="42" spans="1:8" ht="15.75" customHeight="1">
      <c r="A42" s="8" t="s">
        <v>21</v>
      </c>
      <c r="B42" s="8"/>
      <c r="C42" s="8"/>
      <c r="D42" s="8"/>
      <c r="E42" s="8"/>
      <c r="F42" s="102"/>
      <c r="G42" s="2"/>
      <c r="H42" s="2"/>
    </row>
    <row r="43" spans="1:8" ht="15.75" customHeight="1">
      <c r="A43" s="8"/>
      <c r="B43" s="8"/>
      <c r="C43" s="8"/>
      <c r="D43" s="8"/>
      <c r="E43" s="8" t="s">
        <v>22</v>
      </c>
      <c r="F43" s="8"/>
      <c r="G43" s="2"/>
      <c r="H43" s="2"/>
    </row>
    <row r="44" spans="1:8" ht="15.75" customHeight="1">
      <c r="A44" s="8" t="s">
        <v>23</v>
      </c>
      <c r="B44" s="8"/>
      <c r="C44" s="8"/>
      <c r="D44" s="8" t="s">
        <v>24</v>
      </c>
      <c r="E44" s="8"/>
      <c r="F44" s="8"/>
      <c r="G44" s="2"/>
      <c r="H44" s="2"/>
    </row>
    <row r="45" spans="1:8" ht="15.75" customHeight="1">
      <c r="A45" s="8" t="s">
        <v>25</v>
      </c>
      <c r="B45" s="8"/>
      <c r="C45" s="8"/>
      <c r="D45" s="8"/>
      <c r="E45" s="8"/>
      <c r="F45" s="8"/>
      <c r="G45" s="2"/>
      <c r="H45" s="2"/>
    </row>
    <row r="46" spans="1:8" ht="15.75" customHeight="1">
      <c r="A46" s="8" t="s">
        <v>26</v>
      </c>
      <c r="B46" s="8"/>
      <c r="C46" s="8"/>
      <c r="D46" s="8"/>
      <c r="E46" s="8"/>
      <c r="F46" s="8"/>
      <c r="G46" s="2"/>
      <c r="H46" s="2"/>
    </row>
    <row r="47" spans="1:8" ht="15.75" customHeight="1">
      <c r="A47" s="8" t="s">
        <v>27</v>
      </c>
      <c r="B47" s="8"/>
      <c r="C47" s="8"/>
      <c r="D47" s="8"/>
      <c r="E47" s="8"/>
      <c r="F47" s="8"/>
      <c r="G47" s="2"/>
      <c r="H47" s="2"/>
    </row>
    <row r="48" spans="1:8" ht="15.75" customHeight="1">
      <c r="A48" s="8" t="s">
        <v>28</v>
      </c>
      <c r="B48" s="8"/>
      <c r="C48" s="8"/>
      <c r="D48" s="8"/>
      <c r="E48" s="8"/>
      <c r="F48" s="8"/>
      <c r="G48" s="2"/>
      <c r="H48" s="2"/>
    </row>
  </sheetData>
  <sheetProtection/>
  <mergeCells count="3">
    <mergeCell ref="A4:B4"/>
    <mergeCell ref="A5:C5"/>
    <mergeCell ref="A6:C6"/>
  </mergeCells>
  <printOptions/>
  <pageMargins left="0.7" right="0.7" top="0.75" bottom="0.75" header="0.3" footer="0.3"/>
  <pageSetup horizontalDpi="600" verticalDpi="600" orientation="portrait" scale="85" r:id="rId1"/>
  <headerFooter>
    <oddHeader>&amp;L&amp;D&amp;RProduce Brokers Limited
1349/A, North Agrabad, D.T. Road Askarabad (1st floor)
Chattogram-4224
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A3" sqref="A3"/>
    </sheetView>
  </sheetViews>
  <sheetFormatPr defaultColWidth="9.140625" defaultRowHeight="13.5" customHeight="1"/>
  <cols>
    <col min="1" max="1" width="26.7109375" style="177" customWidth="1"/>
    <col min="2" max="2" width="7.140625" style="31" customWidth="1"/>
    <col min="3" max="3" width="10.28125" style="244" bestFit="1" customWidth="1"/>
    <col min="4" max="4" width="8.8515625" style="31" customWidth="1"/>
    <col min="5" max="5" width="10.28125" style="30" bestFit="1" customWidth="1"/>
    <col min="6" max="6" width="7.57421875" style="31" customWidth="1"/>
    <col min="7" max="7" width="10.421875" style="30" bestFit="1" customWidth="1"/>
    <col min="8" max="8" width="13.140625" style="48" bestFit="1" customWidth="1"/>
    <col min="9" max="9" width="8.8515625" style="48" customWidth="1"/>
    <col min="10" max="16384" width="8.8515625" style="177" customWidth="1"/>
  </cols>
  <sheetData>
    <row r="1" spans="1:10" ht="13.5" customHeight="1">
      <c r="A1" s="103" t="s">
        <v>309</v>
      </c>
      <c r="B1" s="104"/>
      <c r="C1" s="105"/>
      <c r="D1" s="104"/>
      <c r="E1" s="106"/>
      <c r="F1" s="104"/>
      <c r="G1" s="105"/>
      <c r="H1" s="107"/>
      <c r="I1" s="107"/>
      <c r="J1" s="1"/>
    </row>
    <row r="2" spans="1:10" ht="13.5" customHeight="1">
      <c r="A2" s="103" t="s">
        <v>427</v>
      </c>
      <c r="B2" s="104"/>
      <c r="C2" s="105"/>
      <c r="D2" s="104"/>
      <c r="E2" s="106"/>
      <c r="F2" s="104"/>
      <c r="G2" s="105"/>
      <c r="H2" s="107"/>
      <c r="I2" s="107"/>
      <c r="J2" s="1"/>
    </row>
    <row r="3" spans="1:10" ht="13.5" customHeight="1">
      <c r="A3" s="103" t="s">
        <v>110</v>
      </c>
      <c r="B3" s="104"/>
      <c r="C3" s="105"/>
      <c r="D3" s="104"/>
      <c r="E3" s="106"/>
      <c r="F3" s="104"/>
      <c r="G3" s="105"/>
      <c r="H3" s="107"/>
      <c r="I3" s="107"/>
      <c r="J3" s="1"/>
    </row>
    <row r="4" spans="1:10" ht="13.5" customHeight="1">
      <c r="A4" s="103" t="s">
        <v>5</v>
      </c>
      <c r="B4" s="104"/>
      <c r="C4" s="105"/>
      <c r="D4" s="104"/>
      <c r="E4" s="106"/>
      <c r="F4" s="104"/>
      <c r="G4" s="105"/>
      <c r="H4" s="107"/>
      <c r="I4" s="107"/>
      <c r="J4" s="1"/>
    </row>
    <row r="5" spans="1:10" ht="13.5" customHeight="1">
      <c r="A5" s="103" t="s">
        <v>6</v>
      </c>
      <c r="B5" s="104"/>
      <c r="C5" s="105"/>
      <c r="D5" s="104"/>
      <c r="E5" s="108"/>
      <c r="F5" s="104"/>
      <c r="G5" s="105"/>
      <c r="H5" s="107"/>
      <c r="I5" s="107"/>
      <c r="J5" s="1"/>
    </row>
    <row r="6" spans="1:10" ht="13.5" customHeight="1">
      <c r="A6" s="103" t="s">
        <v>111</v>
      </c>
      <c r="B6" s="104"/>
      <c r="C6" s="105"/>
      <c r="D6" s="104"/>
      <c r="E6" s="106"/>
      <c r="F6" s="104"/>
      <c r="G6" s="105"/>
      <c r="H6" s="107"/>
      <c r="I6" s="107"/>
      <c r="J6" s="1"/>
    </row>
    <row r="7" spans="1:10" ht="13.5" customHeight="1">
      <c r="A7" s="103" t="s">
        <v>112</v>
      </c>
      <c r="B7" s="104"/>
      <c r="C7" s="105"/>
      <c r="D7" s="104"/>
      <c r="E7" s="109" t="s">
        <v>113</v>
      </c>
      <c r="F7" s="104"/>
      <c r="G7" s="105"/>
      <c r="H7" s="107"/>
      <c r="I7" s="107"/>
      <c r="J7" s="1"/>
    </row>
    <row r="8" spans="1:10" ht="13.5" customHeight="1">
      <c r="A8" s="103" t="s">
        <v>310</v>
      </c>
      <c r="B8" s="110"/>
      <c r="C8" s="111"/>
      <c r="D8" s="110"/>
      <c r="E8" s="112"/>
      <c r="F8" s="110"/>
      <c r="G8" s="111"/>
      <c r="H8" s="113"/>
      <c r="I8" s="113"/>
      <c r="J8" s="1"/>
    </row>
    <row r="9" spans="1:10" ht="13.5" customHeight="1">
      <c r="A9" s="127"/>
      <c r="B9" s="179" t="s">
        <v>45</v>
      </c>
      <c r="C9" s="125"/>
      <c r="D9" s="179" t="s">
        <v>46</v>
      </c>
      <c r="E9" s="125"/>
      <c r="F9" s="179"/>
      <c r="G9" s="178" t="s">
        <v>47</v>
      </c>
      <c r="H9" s="131"/>
      <c r="I9" s="131"/>
      <c r="J9" s="1"/>
    </row>
    <row r="10" spans="1:10" ht="13.5" customHeight="1">
      <c r="A10" s="184" t="s">
        <v>48</v>
      </c>
      <c r="B10" s="180" t="s">
        <v>49</v>
      </c>
      <c r="C10" s="182" t="s">
        <v>50</v>
      </c>
      <c r="D10" s="180" t="s">
        <v>49</v>
      </c>
      <c r="E10" s="182" t="s">
        <v>50</v>
      </c>
      <c r="F10" s="180" t="s">
        <v>49</v>
      </c>
      <c r="G10" s="182" t="s">
        <v>50</v>
      </c>
      <c r="H10" s="183" t="s">
        <v>51</v>
      </c>
      <c r="I10" s="183" t="s">
        <v>52</v>
      </c>
      <c r="J10" s="1"/>
    </row>
    <row r="11" spans="1:10" ht="13.5" customHeight="1">
      <c r="A11" s="132" t="s">
        <v>318</v>
      </c>
      <c r="B11" s="136">
        <v>10</v>
      </c>
      <c r="C11" s="137">
        <v>498.5</v>
      </c>
      <c r="D11" s="136">
        <v>0</v>
      </c>
      <c r="E11" s="134">
        <v>0</v>
      </c>
      <c r="F11" s="136">
        <v>10</v>
      </c>
      <c r="G11" s="134">
        <v>498.5</v>
      </c>
      <c r="H11" s="135" t="s">
        <v>201</v>
      </c>
      <c r="I11" s="135">
        <v>248</v>
      </c>
      <c r="J11" s="1"/>
    </row>
    <row r="12" spans="1:10" ht="13.5" customHeight="1">
      <c r="A12" s="132" t="s">
        <v>319</v>
      </c>
      <c r="B12" s="136">
        <v>183</v>
      </c>
      <c r="C12" s="137">
        <v>9121.5</v>
      </c>
      <c r="D12" s="136">
        <v>0</v>
      </c>
      <c r="E12" s="134">
        <v>0</v>
      </c>
      <c r="F12" s="136">
        <v>183</v>
      </c>
      <c r="G12" s="134">
        <v>9121.5</v>
      </c>
      <c r="H12" s="135" t="s">
        <v>320</v>
      </c>
      <c r="I12" s="135">
        <v>218.06</v>
      </c>
      <c r="J12" s="1"/>
    </row>
    <row r="13" spans="1:10" ht="13.5" customHeight="1">
      <c r="A13" s="132" t="s">
        <v>53</v>
      </c>
      <c r="B13" s="136">
        <v>372</v>
      </c>
      <c r="C13" s="137">
        <v>18543</v>
      </c>
      <c r="D13" s="136">
        <v>0</v>
      </c>
      <c r="E13" s="134">
        <v>0</v>
      </c>
      <c r="F13" s="136">
        <v>372</v>
      </c>
      <c r="G13" s="134">
        <v>18543</v>
      </c>
      <c r="H13" s="135" t="s">
        <v>321</v>
      </c>
      <c r="I13" s="135">
        <v>196.33</v>
      </c>
      <c r="J13" s="1"/>
    </row>
    <row r="14" spans="1:10" ht="13.5" customHeight="1">
      <c r="A14" s="132" t="s">
        <v>322</v>
      </c>
      <c r="B14" s="136">
        <v>10</v>
      </c>
      <c r="C14" s="137">
        <v>498.5</v>
      </c>
      <c r="D14" s="136">
        <v>0</v>
      </c>
      <c r="E14" s="134">
        <v>0</v>
      </c>
      <c r="F14" s="136">
        <v>10</v>
      </c>
      <c r="G14" s="134">
        <v>498.5</v>
      </c>
      <c r="H14" s="135" t="s">
        <v>323</v>
      </c>
      <c r="I14" s="135">
        <v>211</v>
      </c>
      <c r="J14" s="1"/>
    </row>
    <row r="15" spans="1:10" ht="13.5" customHeight="1">
      <c r="A15" s="132" t="s">
        <v>168</v>
      </c>
      <c r="B15" s="136">
        <v>22</v>
      </c>
      <c r="C15" s="137">
        <v>1097</v>
      </c>
      <c r="D15" s="136">
        <v>0</v>
      </c>
      <c r="E15" s="134">
        <v>0</v>
      </c>
      <c r="F15" s="136">
        <v>22</v>
      </c>
      <c r="G15" s="134">
        <v>1097</v>
      </c>
      <c r="H15" s="135" t="s">
        <v>324</v>
      </c>
      <c r="I15" s="135">
        <v>251.5</v>
      </c>
      <c r="J15" s="1"/>
    </row>
    <row r="16" spans="1:10" ht="13.5" customHeight="1">
      <c r="A16" s="132" t="s">
        <v>128</v>
      </c>
      <c r="B16" s="127"/>
      <c r="C16" s="137">
        <v>0</v>
      </c>
      <c r="D16" s="136">
        <v>35</v>
      </c>
      <c r="E16" s="134">
        <v>1745.9</v>
      </c>
      <c r="F16" s="136">
        <v>35</v>
      </c>
      <c r="G16" s="134">
        <v>1745.9</v>
      </c>
      <c r="H16" s="135" t="s">
        <v>325</v>
      </c>
      <c r="I16" s="135">
        <v>192</v>
      </c>
      <c r="J16" s="1"/>
    </row>
    <row r="17" spans="1:10" ht="13.5" customHeight="1">
      <c r="A17" s="132" t="s">
        <v>174</v>
      </c>
      <c r="B17" s="136">
        <v>41</v>
      </c>
      <c r="C17" s="137">
        <v>2044</v>
      </c>
      <c r="D17" s="136">
        <v>25</v>
      </c>
      <c r="E17" s="134">
        <v>1248.2</v>
      </c>
      <c r="F17" s="136">
        <v>66</v>
      </c>
      <c r="G17" s="134">
        <v>3292.2</v>
      </c>
      <c r="H17" s="135" t="s">
        <v>326</v>
      </c>
      <c r="I17" s="135">
        <v>203.58</v>
      </c>
      <c r="J17" s="1"/>
    </row>
    <row r="18" spans="1:10" ht="13.5" customHeight="1">
      <c r="A18" s="132" t="s">
        <v>59</v>
      </c>
      <c r="B18" s="136">
        <v>40</v>
      </c>
      <c r="C18" s="137">
        <v>1994</v>
      </c>
      <c r="D18" s="136">
        <v>0</v>
      </c>
      <c r="E18" s="134">
        <v>0</v>
      </c>
      <c r="F18" s="136">
        <v>40</v>
      </c>
      <c r="G18" s="134">
        <v>1994</v>
      </c>
      <c r="H18" s="135" t="s">
        <v>327</v>
      </c>
      <c r="I18" s="135">
        <v>250</v>
      </c>
      <c r="J18" s="1"/>
    </row>
    <row r="19" spans="1:10" ht="13.5" customHeight="1">
      <c r="A19" s="132" t="s">
        <v>63</v>
      </c>
      <c r="B19" s="136">
        <v>20</v>
      </c>
      <c r="C19" s="137">
        <v>997</v>
      </c>
      <c r="D19" s="136">
        <v>0</v>
      </c>
      <c r="E19" s="134">
        <v>0</v>
      </c>
      <c r="F19" s="136">
        <v>20</v>
      </c>
      <c r="G19" s="134">
        <v>997</v>
      </c>
      <c r="H19" s="135" t="s">
        <v>328</v>
      </c>
      <c r="I19" s="135">
        <v>192</v>
      </c>
      <c r="J19" s="1"/>
    </row>
    <row r="20" spans="1:10" ht="13.5" customHeight="1">
      <c r="A20" s="132" t="s">
        <v>329</v>
      </c>
      <c r="B20" s="136">
        <v>11</v>
      </c>
      <c r="C20" s="137">
        <v>548.5</v>
      </c>
      <c r="D20" s="136">
        <v>0</v>
      </c>
      <c r="E20" s="134">
        <v>0</v>
      </c>
      <c r="F20" s="136">
        <v>11</v>
      </c>
      <c r="G20" s="134">
        <v>548.5</v>
      </c>
      <c r="H20" s="135" t="s">
        <v>330</v>
      </c>
      <c r="I20" s="135">
        <v>257</v>
      </c>
      <c r="J20" s="1"/>
    </row>
    <row r="21" spans="1:10" ht="13.5" customHeight="1">
      <c r="A21" s="132" t="s">
        <v>136</v>
      </c>
      <c r="B21" s="136">
        <v>30</v>
      </c>
      <c r="C21" s="137">
        <v>1497</v>
      </c>
      <c r="D21" s="136">
        <v>0</v>
      </c>
      <c r="E21" s="134">
        <v>0</v>
      </c>
      <c r="F21" s="136">
        <v>30</v>
      </c>
      <c r="G21" s="134">
        <v>1497</v>
      </c>
      <c r="H21" s="135" t="s">
        <v>331</v>
      </c>
      <c r="I21" s="135">
        <v>187.61</v>
      </c>
      <c r="J21" s="1"/>
    </row>
    <row r="22" spans="1:10" ht="13.5" customHeight="1">
      <c r="A22" s="132" t="s">
        <v>67</v>
      </c>
      <c r="B22" s="136">
        <v>120</v>
      </c>
      <c r="C22" s="137">
        <v>5982</v>
      </c>
      <c r="D22" s="136">
        <v>65</v>
      </c>
      <c r="E22" s="134">
        <v>3243.6</v>
      </c>
      <c r="F22" s="136">
        <v>185</v>
      </c>
      <c r="G22" s="134">
        <v>9225.6</v>
      </c>
      <c r="H22" s="135" t="s">
        <v>332</v>
      </c>
      <c r="I22" s="135">
        <v>203.11</v>
      </c>
      <c r="J22" s="1"/>
    </row>
    <row r="23" spans="1:10" ht="13.5" customHeight="1">
      <c r="A23" s="132" t="s">
        <v>69</v>
      </c>
      <c r="B23" s="136">
        <v>20</v>
      </c>
      <c r="C23" s="137">
        <v>997</v>
      </c>
      <c r="D23" s="136">
        <v>0</v>
      </c>
      <c r="E23" s="134">
        <v>0</v>
      </c>
      <c r="F23" s="136">
        <v>20</v>
      </c>
      <c r="G23" s="134">
        <v>997</v>
      </c>
      <c r="H23" s="135" t="s">
        <v>333</v>
      </c>
      <c r="I23" s="135">
        <v>189</v>
      </c>
      <c r="J23" s="1"/>
    </row>
    <row r="24" spans="1:10" ht="13.5" customHeight="1">
      <c r="A24" s="132" t="s">
        <v>71</v>
      </c>
      <c r="B24" s="136">
        <v>880</v>
      </c>
      <c r="C24" s="137">
        <v>43866.5</v>
      </c>
      <c r="D24" s="136">
        <v>135</v>
      </c>
      <c r="E24" s="134">
        <v>6737.6</v>
      </c>
      <c r="F24" s="152">
        <v>1015</v>
      </c>
      <c r="G24" s="134">
        <v>50604.1</v>
      </c>
      <c r="H24" s="135" t="s">
        <v>334</v>
      </c>
      <c r="I24" s="135">
        <v>198.37</v>
      </c>
      <c r="J24" s="1"/>
    </row>
    <row r="25" spans="1:10" ht="13.5" customHeight="1">
      <c r="A25" s="132" t="s">
        <v>141</v>
      </c>
      <c r="B25" s="136">
        <v>30</v>
      </c>
      <c r="C25" s="137">
        <v>1495.5</v>
      </c>
      <c r="D25" s="136">
        <v>30</v>
      </c>
      <c r="E25" s="134">
        <v>1497.1</v>
      </c>
      <c r="F25" s="136">
        <v>60</v>
      </c>
      <c r="G25" s="134">
        <v>2992.6</v>
      </c>
      <c r="H25" s="135" t="s">
        <v>335</v>
      </c>
      <c r="I25" s="135">
        <v>152.93</v>
      </c>
      <c r="J25" s="1"/>
    </row>
    <row r="26" spans="1:10" ht="13.5" customHeight="1">
      <c r="A26" s="132" t="s">
        <v>73</v>
      </c>
      <c r="B26" s="136">
        <v>10</v>
      </c>
      <c r="C26" s="137">
        <v>498.5</v>
      </c>
      <c r="D26" s="136">
        <v>0</v>
      </c>
      <c r="E26" s="134">
        <v>0</v>
      </c>
      <c r="F26" s="136">
        <v>10</v>
      </c>
      <c r="G26" s="134">
        <v>498.5</v>
      </c>
      <c r="H26" s="135" t="s">
        <v>336</v>
      </c>
      <c r="I26" s="135">
        <v>250</v>
      </c>
      <c r="J26" s="1"/>
    </row>
    <row r="27" spans="1:10" ht="13.5" customHeight="1">
      <c r="A27" s="132" t="s">
        <v>75</v>
      </c>
      <c r="B27" s="136">
        <v>10</v>
      </c>
      <c r="C27" s="137">
        <v>498.5</v>
      </c>
      <c r="D27" s="136">
        <v>20</v>
      </c>
      <c r="E27" s="134">
        <v>998.2</v>
      </c>
      <c r="F27" s="136">
        <v>30</v>
      </c>
      <c r="G27" s="134">
        <v>1496.7</v>
      </c>
      <c r="H27" s="135" t="s">
        <v>337</v>
      </c>
      <c r="I27" s="135">
        <v>227.66</v>
      </c>
      <c r="J27" s="1"/>
    </row>
    <row r="28" spans="1:10" ht="13.5" customHeight="1">
      <c r="A28" s="132" t="s">
        <v>77</v>
      </c>
      <c r="B28" s="136">
        <v>10</v>
      </c>
      <c r="C28" s="137">
        <v>498.5</v>
      </c>
      <c r="D28" s="136">
        <v>21</v>
      </c>
      <c r="E28" s="134">
        <v>1047</v>
      </c>
      <c r="F28" s="136">
        <v>31</v>
      </c>
      <c r="G28" s="134">
        <v>1545.5</v>
      </c>
      <c r="H28" s="135" t="s">
        <v>338</v>
      </c>
      <c r="I28" s="135">
        <v>212.06</v>
      </c>
      <c r="J28" s="1"/>
    </row>
    <row r="29" spans="1:10" ht="13.5" customHeight="1">
      <c r="A29" s="132" t="s">
        <v>79</v>
      </c>
      <c r="B29" s="127"/>
      <c r="C29" s="137">
        <v>0</v>
      </c>
      <c r="D29" s="136">
        <v>5</v>
      </c>
      <c r="E29" s="134">
        <v>249.2</v>
      </c>
      <c r="F29" s="136">
        <v>5</v>
      </c>
      <c r="G29" s="134">
        <v>249.2</v>
      </c>
      <c r="H29" s="135">
        <v>54824</v>
      </c>
      <c r="I29" s="135">
        <v>220</v>
      </c>
      <c r="J29" s="1"/>
    </row>
    <row r="30" spans="1:10" ht="13.5" customHeight="1">
      <c r="A30" s="132" t="s">
        <v>221</v>
      </c>
      <c r="B30" s="136">
        <v>140</v>
      </c>
      <c r="C30" s="137">
        <v>6980.5</v>
      </c>
      <c r="D30" s="136">
        <v>20</v>
      </c>
      <c r="E30" s="134">
        <v>998.4</v>
      </c>
      <c r="F30" s="136">
        <v>160</v>
      </c>
      <c r="G30" s="134">
        <v>7978.9</v>
      </c>
      <c r="H30" s="135" t="s">
        <v>339</v>
      </c>
      <c r="I30" s="135">
        <v>174.69</v>
      </c>
      <c r="J30" s="1"/>
    </row>
    <row r="31" spans="1:10" ht="13.5" customHeight="1">
      <c r="A31" s="132" t="s">
        <v>146</v>
      </c>
      <c r="B31" s="136">
        <v>20</v>
      </c>
      <c r="C31" s="137">
        <v>997</v>
      </c>
      <c r="D31" s="136">
        <v>0</v>
      </c>
      <c r="E31" s="134">
        <v>0</v>
      </c>
      <c r="F31" s="136">
        <v>20</v>
      </c>
      <c r="G31" s="134">
        <v>997</v>
      </c>
      <c r="H31" s="135" t="s">
        <v>340</v>
      </c>
      <c r="I31" s="135">
        <v>245</v>
      </c>
      <c r="J31" s="1"/>
    </row>
    <row r="32" spans="1:10" ht="13.5" customHeight="1">
      <c r="A32" s="132" t="s">
        <v>83</v>
      </c>
      <c r="B32" s="136">
        <v>170</v>
      </c>
      <c r="C32" s="137">
        <v>8474.5</v>
      </c>
      <c r="D32" s="136">
        <v>45</v>
      </c>
      <c r="E32" s="134">
        <v>2245.5</v>
      </c>
      <c r="F32" s="136">
        <v>215</v>
      </c>
      <c r="G32" s="134">
        <v>10720</v>
      </c>
      <c r="H32" s="135" t="s">
        <v>341</v>
      </c>
      <c r="I32" s="135">
        <v>212.97</v>
      </c>
      <c r="J32" s="1"/>
    </row>
    <row r="33" spans="1:10" ht="13.5" customHeight="1">
      <c r="A33" s="132" t="s">
        <v>342</v>
      </c>
      <c r="B33" s="136">
        <v>10</v>
      </c>
      <c r="C33" s="137">
        <v>497</v>
      </c>
      <c r="D33" s="136">
        <v>0</v>
      </c>
      <c r="E33" s="134">
        <v>0</v>
      </c>
      <c r="F33" s="136">
        <v>10</v>
      </c>
      <c r="G33" s="134">
        <v>497</v>
      </c>
      <c r="H33" s="135">
        <v>99400</v>
      </c>
      <c r="I33" s="135">
        <v>200</v>
      </c>
      <c r="J33" s="1"/>
    </row>
    <row r="34" spans="1:10" ht="13.5" customHeight="1">
      <c r="A34" s="132" t="s">
        <v>87</v>
      </c>
      <c r="B34" s="136">
        <v>10</v>
      </c>
      <c r="C34" s="137">
        <v>498.5</v>
      </c>
      <c r="D34" s="136">
        <v>0</v>
      </c>
      <c r="E34" s="134">
        <v>0</v>
      </c>
      <c r="F34" s="136">
        <v>10</v>
      </c>
      <c r="G34" s="134">
        <v>498.5</v>
      </c>
      <c r="H34" s="135" t="s">
        <v>343</v>
      </c>
      <c r="I34" s="135">
        <v>235</v>
      </c>
      <c r="J34" s="1"/>
    </row>
    <row r="35" spans="1:10" ht="13.5" customHeight="1">
      <c r="A35" s="132" t="s">
        <v>344</v>
      </c>
      <c r="B35" s="136">
        <v>30</v>
      </c>
      <c r="C35" s="137">
        <v>1495.5</v>
      </c>
      <c r="D35" s="136">
        <v>0</v>
      </c>
      <c r="E35" s="134">
        <v>0</v>
      </c>
      <c r="F35" s="136">
        <v>30</v>
      </c>
      <c r="G35" s="134">
        <v>1495.5</v>
      </c>
      <c r="H35" s="135" t="s">
        <v>345</v>
      </c>
      <c r="I35" s="135">
        <v>192</v>
      </c>
      <c r="J35" s="1"/>
    </row>
    <row r="36" spans="1:10" ht="13.5" customHeight="1">
      <c r="A36" s="132" t="s">
        <v>150</v>
      </c>
      <c r="B36" s="127"/>
      <c r="C36" s="137">
        <v>0</v>
      </c>
      <c r="D36" s="136">
        <v>20</v>
      </c>
      <c r="E36" s="134">
        <v>997.9</v>
      </c>
      <c r="F36" s="136">
        <v>20</v>
      </c>
      <c r="G36" s="134">
        <v>997.9</v>
      </c>
      <c r="H36" s="135" t="s">
        <v>346</v>
      </c>
      <c r="I36" s="135">
        <v>204.49</v>
      </c>
      <c r="J36" s="1"/>
    </row>
    <row r="37" spans="1:10" ht="13.5" customHeight="1">
      <c r="A37" s="132" t="s">
        <v>153</v>
      </c>
      <c r="B37" s="127"/>
      <c r="C37" s="137">
        <v>0</v>
      </c>
      <c r="D37" s="136">
        <v>10</v>
      </c>
      <c r="E37" s="134">
        <v>498.4</v>
      </c>
      <c r="F37" s="136">
        <v>10</v>
      </c>
      <c r="G37" s="134">
        <v>498.4</v>
      </c>
      <c r="H37" s="135">
        <v>98434</v>
      </c>
      <c r="I37" s="135">
        <v>197.5</v>
      </c>
      <c r="J37" s="1"/>
    </row>
    <row r="38" spans="1:10" ht="13.5" customHeight="1">
      <c r="A38" s="132" t="s">
        <v>347</v>
      </c>
      <c r="B38" s="127"/>
      <c r="C38" s="137">
        <v>0</v>
      </c>
      <c r="D38" s="136">
        <v>12</v>
      </c>
      <c r="E38" s="134">
        <v>598.4</v>
      </c>
      <c r="F38" s="136">
        <v>12</v>
      </c>
      <c r="G38" s="134">
        <v>598.4</v>
      </c>
      <c r="H38" s="135" t="s">
        <v>348</v>
      </c>
      <c r="I38" s="135">
        <v>238</v>
      </c>
      <c r="J38" s="1"/>
    </row>
    <row r="39" spans="1:10" ht="13.5" customHeight="1">
      <c r="A39" s="132" t="s">
        <v>229</v>
      </c>
      <c r="B39" s="136">
        <v>70</v>
      </c>
      <c r="C39" s="137">
        <v>3486.5</v>
      </c>
      <c r="D39" s="136">
        <v>0</v>
      </c>
      <c r="E39" s="134">
        <v>0</v>
      </c>
      <c r="F39" s="136">
        <v>70</v>
      </c>
      <c r="G39" s="134">
        <v>3486.5</v>
      </c>
      <c r="H39" s="135" t="s">
        <v>349</v>
      </c>
      <c r="I39" s="135">
        <v>130.43</v>
      </c>
      <c r="J39" s="1"/>
    </row>
    <row r="40" spans="1:10" ht="13.5" customHeight="1">
      <c r="A40" s="132" t="s">
        <v>187</v>
      </c>
      <c r="B40" s="136">
        <v>30</v>
      </c>
      <c r="C40" s="137">
        <v>1494</v>
      </c>
      <c r="D40" s="136">
        <v>0</v>
      </c>
      <c r="E40" s="134">
        <v>0</v>
      </c>
      <c r="F40" s="136">
        <v>30</v>
      </c>
      <c r="G40" s="134">
        <v>1494</v>
      </c>
      <c r="H40" s="135" t="s">
        <v>350</v>
      </c>
      <c r="I40" s="135">
        <v>170.37</v>
      </c>
      <c r="J40" s="1"/>
    </row>
    <row r="41" spans="1:10" ht="13.5" customHeight="1">
      <c r="A41" s="132" t="s">
        <v>94</v>
      </c>
      <c r="B41" s="136">
        <v>10</v>
      </c>
      <c r="C41" s="137">
        <v>498.5</v>
      </c>
      <c r="D41" s="136">
        <v>120</v>
      </c>
      <c r="E41" s="134">
        <v>5990.5</v>
      </c>
      <c r="F41" s="136">
        <v>130</v>
      </c>
      <c r="G41" s="134">
        <v>6489</v>
      </c>
      <c r="H41" s="135" t="s">
        <v>351</v>
      </c>
      <c r="I41" s="135">
        <v>201.58</v>
      </c>
      <c r="J41" s="1"/>
    </row>
    <row r="42" spans="1:10" ht="13.5" customHeight="1">
      <c r="A42" s="132" t="s">
        <v>190</v>
      </c>
      <c r="B42" s="136">
        <v>50</v>
      </c>
      <c r="C42" s="137">
        <v>2491</v>
      </c>
      <c r="D42" s="136">
        <v>0</v>
      </c>
      <c r="E42" s="134">
        <v>0</v>
      </c>
      <c r="F42" s="136">
        <v>50</v>
      </c>
      <c r="G42" s="134">
        <v>2491</v>
      </c>
      <c r="H42" s="135" t="s">
        <v>352</v>
      </c>
      <c r="I42" s="135">
        <v>160.41</v>
      </c>
      <c r="J42" s="1"/>
    </row>
    <row r="43" spans="1:10" ht="13.5" customHeight="1">
      <c r="A43" s="132" t="s">
        <v>266</v>
      </c>
      <c r="B43" s="127"/>
      <c r="C43" s="137">
        <v>0</v>
      </c>
      <c r="D43" s="136">
        <v>5</v>
      </c>
      <c r="E43" s="134">
        <v>249.2</v>
      </c>
      <c r="F43" s="136">
        <v>5</v>
      </c>
      <c r="G43" s="134">
        <v>249.2</v>
      </c>
      <c r="H43" s="135">
        <v>49092.4</v>
      </c>
      <c r="I43" s="135">
        <v>197</v>
      </c>
      <c r="J43" s="1"/>
    </row>
    <row r="44" spans="1:10" ht="13.5" customHeight="1">
      <c r="A44" s="132" t="s">
        <v>96</v>
      </c>
      <c r="B44" s="136">
        <v>10</v>
      </c>
      <c r="C44" s="137">
        <v>498.5</v>
      </c>
      <c r="D44" s="136">
        <v>0</v>
      </c>
      <c r="E44" s="134">
        <v>0</v>
      </c>
      <c r="F44" s="136">
        <v>10</v>
      </c>
      <c r="G44" s="134">
        <v>498.5</v>
      </c>
      <c r="H44" s="135" t="s">
        <v>353</v>
      </c>
      <c r="I44" s="135">
        <v>259</v>
      </c>
      <c r="J44" s="1"/>
    </row>
    <row r="45" spans="1:10" ht="13.5" customHeight="1">
      <c r="A45" s="132" t="s">
        <v>98</v>
      </c>
      <c r="B45" s="127"/>
      <c r="C45" s="137">
        <v>0</v>
      </c>
      <c r="D45" s="136">
        <v>30</v>
      </c>
      <c r="E45" s="134">
        <v>1496.8</v>
      </c>
      <c r="F45" s="136">
        <v>30</v>
      </c>
      <c r="G45" s="134">
        <v>1496.8</v>
      </c>
      <c r="H45" s="135" t="s">
        <v>354</v>
      </c>
      <c r="I45" s="135">
        <v>209.15</v>
      </c>
      <c r="J45" s="1"/>
    </row>
    <row r="46" spans="1:10" ht="13.5" customHeight="1">
      <c r="A46" s="132" t="s">
        <v>237</v>
      </c>
      <c r="B46" s="136">
        <v>10</v>
      </c>
      <c r="C46" s="137">
        <v>498.5</v>
      </c>
      <c r="D46" s="136">
        <v>0</v>
      </c>
      <c r="E46" s="134">
        <v>0</v>
      </c>
      <c r="F46" s="136">
        <v>10</v>
      </c>
      <c r="G46" s="134">
        <v>498.5</v>
      </c>
      <c r="H46" s="135">
        <v>89730</v>
      </c>
      <c r="I46" s="135">
        <v>180</v>
      </c>
      <c r="J46" s="1"/>
    </row>
    <row r="47" spans="1:10" ht="13.5" customHeight="1">
      <c r="A47" s="132" t="s">
        <v>99</v>
      </c>
      <c r="B47" s="127"/>
      <c r="C47" s="137">
        <v>0</v>
      </c>
      <c r="D47" s="136">
        <v>106</v>
      </c>
      <c r="E47" s="134">
        <v>5287.3</v>
      </c>
      <c r="F47" s="136">
        <v>106</v>
      </c>
      <c r="G47" s="134">
        <v>5287.3</v>
      </c>
      <c r="H47" s="135" t="s">
        <v>355</v>
      </c>
      <c r="I47" s="135">
        <v>249.15</v>
      </c>
      <c r="J47" s="1"/>
    </row>
    <row r="48" spans="1:10" ht="13.5" customHeight="1">
      <c r="A48" s="132" t="s">
        <v>101</v>
      </c>
      <c r="B48" s="136">
        <v>40</v>
      </c>
      <c r="C48" s="137">
        <v>1994</v>
      </c>
      <c r="D48" s="136">
        <v>0</v>
      </c>
      <c r="E48" s="134">
        <v>0</v>
      </c>
      <c r="F48" s="136">
        <v>40</v>
      </c>
      <c r="G48" s="134">
        <v>1994</v>
      </c>
      <c r="H48" s="135" t="s">
        <v>356</v>
      </c>
      <c r="I48" s="135">
        <v>132.25</v>
      </c>
      <c r="J48" s="1"/>
    </row>
    <row r="49" spans="1:10" ht="13.5" customHeight="1">
      <c r="A49" s="132" t="s">
        <v>194</v>
      </c>
      <c r="B49" s="136">
        <v>70</v>
      </c>
      <c r="C49" s="137">
        <v>3488</v>
      </c>
      <c r="D49" s="136">
        <v>0</v>
      </c>
      <c r="E49" s="134">
        <v>0</v>
      </c>
      <c r="F49" s="136">
        <v>70</v>
      </c>
      <c r="G49" s="134">
        <v>3488</v>
      </c>
      <c r="H49" s="135" t="s">
        <v>357</v>
      </c>
      <c r="I49" s="135">
        <v>210.57</v>
      </c>
      <c r="J49" s="1"/>
    </row>
    <row r="50" spans="1:10" ht="13.5" customHeight="1">
      <c r="A50" s="132" t="s">
        <v>14</v>
      </c>
      <c r="B50" s="152">
        <v>2489</v>
      </c>
      <c r="C50" s="137" t="s">
        <v>358</v>
      </c>
      <c r="D50" s="136">
        <v>704</v>
      </c>
      <c r="E50" s="134">
        <v>35129.2</v>
      </c>
      <c r="F50" s="152">
        <v>3193</v>
      </c>
      <c r="G50" s="134" t="s">
        <v>359</v>
      </c>
      <c r="H50" s="135" t="s">
        <v>360</v>
      </c>
      <c r="I50" s="135">
        <v>200.01</v>
      </c>
      <c r="J50" s="1"/>
    </row>
    <row r="51" spans="1:10" ht="13.5" customHeight="1">
      <c r="A51" s="132"/>
      <c r="B51" s="152"/>
      <c r="C51" s="178"/>
      <c r="D51" s="136"/>
      <c r="E51" s="134"/>
      <c r="F51" s="152"/>
      <c r="G51" s="178"/>
      <c r="H51" s="135"/>
      <c r="I51" s="135"/>
      <c r="J51" s="1"/>
    </row>
    <row r="52" spans="1:10" ht="13.5" customHeight="1">
      <c r="A52" s="103" t="s">
        <v>117</v>
      </c>
      <c r="B52" s="124"/>
      <c r="C52" s="125"/>
      <c r="D52" s="124"/>
      <c r="E52" s="126"/>
      <c r="F52" s="124"/>
      <c r="G52" s="125"/>
      <c r="H52" s="131"/>
      <c r="I52" s="131"/>
      <c r="J52" s="1"/>
    </row>
    <row r="53" spans="1:10" ht="13.5" customHeight="1">
      <c r="A53" s="103" t="s">
        <v>118</v>
      </c>
      <c r="B53" s="124"/>
      <c r="C53" s="125"/>
      <c r="D53" s="124"/>
      <c r="E53" s="126"/>
      <c r="F53" s="124"/>
      <c r="G53" s="125" t="s">
        <v>119</v>
      </c>
      <c r="H53" s="131"/>
      <c r="I53" s="131"/>
      <c r="J53" s="1"/>
    </row>
    <row r="54" spans="1:10" ht="13.5" customHeight="1">
      <c r="A54" s="103" t="s">
        <v>120</v>
      </c>
      <c r="B54" s="124"/>
      <c r="C54" s="125"/>
      <c r="D54" s="124"/>
      <c r="E54" s="126"/>
      <c r="F54" s="127"/>
      <c r="G54" s="245" t="s">
        <v>121</v>
      </c>
      <c r="H54" s="131"/>
      <c r="I54" s="131"/>
      <c r="J54" s="1"/>
    </row>
    <row r="55" spans="1:10" ht="13.5" customHeight="1">
      <c r="A55" s="103" t="s">
        <v>122</v>
      </c>
      <c r="B55" s="124"/>
      <c r="C55" s="125"/>
      <c r="D55" s="124"/>
      <c r="E55" s="126"/>
      <c r="F55" s="124"/>
      <c r="G55" s="125"/>
      <c r="H55" s="131"/>
      <c r="I55" s="131"/>
      <c r="J55" s="1"/>
    </row>
    <row r="56" spans="1:10" ht="13.5" customHeight="1">
      <c r="A56" s="103" t="s">
        <v>123</v>
      </c>
      <c r="B56" s="124"/>
      <c r="C56" s="125"/>
      <c r="D56" s="124"/>
      <c r="E56" s="126"/>
      <c r="F56" s="124"/>
      <c r="G56" s="125"/>
      <c r="H56" s="131"/>
      <c r="I56" s="131"/>
      <c r="J56" s="1"/>
    </row>
    <row r="57" spans="1:10" ht="13.5" customHeight="1">
      <c r="A57" s="1"/>
      <c r="J57" s="1"/>
    </row>
    <row r="58" spans="1:10" ht="13.5" customHeight="1">
      <c r="A58" s="1"/>
      <c r="J58" s="1"/>
    </row>
    <row r="59" spans="1:10" ht="13.5" customHeight="1">
      <c r="A59" s="1"/>
      <c r="J59" s="1"/>
    </row>
    <row r="60" spans="1:10" ht="13.5" customHeight="1">
      <c r="A60" s="1"/>
      <c r="J60" s="1"/>
    </row>
    <row r="61" spans="1:10" ht="13.5" customHeight="1">
      <c r="A61" s="1"/>
      <c r="J61" s="1"/>
    </row>
    <row r="62" spans="1:10" ht="13.5" customHeight="1">
      <c r="A62" s="1"/>
      <c r="J62" s="1"/>
    </row>
    <row r="63" spans="1:10" ht="13.5" customHeight="1">
      <c r="A63" s="1"/>
      <c r="J63" s="1"/>
    </row>
    <row r="64" spans="1:9" ht="13.5" customHeight="1">
      <c r="A64" s="41"/>
      <c r="B64" s="42"/>
      <c r="C64" s="44"/>
      <c r="D64" s="42"/>
      <c r="E64" s="44"/>
      <c r="F64" s="42"/>
      <c r="G64" s="44"/>
      <c r="H64" s="47"/>
      <c r="I64" s="47"/>
    </row>
    <row r="65" spans="1:9" ht="13.5" customHeight="1">
      <c r="A65" s="41"/>
      <c r="B65" s="42"/>
      <c r="C65" s="44"/>
      <c r="D65" s="42"/>
      <c r="E65" s="44"/>
      <c r="F65" s="42"/>
      <c r="G65" s="44"/>
      <c r="H65" s="47"/>
      <c r="I65" s="47"/>
    </row>
    <row r="66" spans="1:9" ht="13.5" customHeight="1">
      <c r="A66" s="41"/>
      <c r="B66" s="42"/>
      <c r="C66" s="44"/>
      <c r="D66" s="42"/>
      <c r="E66" s="44"/>
      <c r="F66" s="42"/>
      <c r="G66" s="44"/>
      <c r="H66" s="47"/>
      <c r="I66" s="47"/>
    </row>
    <row r="67" spans="1:9" ht="13.5" customHeight="1">
      <c r="A67" s="41"/>
      <c r="B67" s="42"/>
      <c r="C67" s="44"/>
      <c r="D67" s="42"/>
      <c r="E67" s="44"/>
      <c r="F67" s="42"/>
      <c r="G67" s="44"/>
      <c r="H67" s="47"/>
      <c r="I67" s="47"/>
    </row>
    <row r="68" spans="1:9" ht="13.5" customHeight="1">
      <c r="A68" s="41"/>
      <c r="B68" s="42"/>
      <c r="C68" s="44"/>
      <c r="D68" s="42"/>
      <c r="E68" s="44"/>
      <c r="F68" s="42"/>
      <c r="G68" s="44"/>
      <c r="H68" s="47"/>
      <c r="I68" s="47"/>
    </row>
    <row r="69" spans="1:9" ht="13.5" customHeight="1">
      <c r="A69" s="41"/>
      <c r="B69" s="42"/>
      <c r="C69" s="44"/>
      <c r="D69" s="42"/>
      <c r="E69" s="44"/>
      <c r="F69" s="42"/>
      <c r="G69" s="44"/>
      <c r="H69" s="47"/>
      <c r="I69" s="47"/>
    </row>
    <row r="70" spans="1:9" ht="13.5" customHeight="1">
      <c r="A70" s="41"/>
      <c r="B70" s="42"/>
      <c r="C70" s="44"/>
      <c r="D70" s="42"/>
      <c r="E70" s="44"/>
      <c r="F70" s="42"/>
      <c r="G70" s="44"/>
      <c r="H70" s="47"/>
      <c r="I70" s="47"/>
    </row>
    <row r="71" spans="1:9" ht="13.5" customHeight="1">
      <c r="A71" s="41"/>
      <c r="B71" s="42"/>
      <c r="C71" s="44"/>
      <c r="D71" s="42"/>
      <c r="E71" s="44"/>
      <c r="F71" s="42"/>
      <c r="G71" s="44"/>
      <c r="H71" s="47"/>
      <c r="I71" s="47"/>
    </row>
    <row r="72" spans="1:9" ht="13.5" customHeight="1">
      <c r="A72" s="41"/>
      <c r="B72" s="42"/>
      <c r="C72" s="44"/>
      <c r="D72" s="42"/>
      <c r="E72" s="44"/>
      <c r="F72" s="42"/>
      <c r="G72" s="44"/>
      <c r="H72" s="47"/>
      <c r="I72" s="47"/>
    </row>
    <row r="73" spans="1:9" ht="13.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3.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3.5" customHeight="1">
      <c r="A75" s="41"/>
      <c r="B75" s="42"/>
      <c r="C75" s="44"/>
      <c r="D75" s="42"/>
      <c r="E75" s="44"/>
      <c r="F75" s="42"/>
      <c r="G75" s="44"/>
      <c r="H75" s="47"/>
      <c r="I75" s="47"/>
    </row>
    <row r="76" spans="1:9" ht="13.5" customHeight="1">
      <c r="A76" s="41"/>
      <c r="B76" s="42"/>
      <c r="C76" s="44"/>
      <c r="D76" s="42"/>
      <c r="E76" s="44"/>
      <c r="F76" s="42"/>
      <c r="G76" s="44"/>
      <c r="H76" s="47"/>
      <c r="I76" s="47"/>
    </row>
    <row r="77" spans="1:9" ht="13.5" customHeight="1">
      <c r="A77" s="41"/>
      <c r="B77" s="42"/>
      <c r="C77" s="44"/>
      <c r="D77" s="42"/>
      <c r="E77" s="44"/>
      <c r="F77" s="42"/>
      <c r="G77" s="44"/>
      <c r="H77" s="47"/>
      <c r="I77" s="47"/>
    </row>
    <row r="78" spans="1:9" ht="13.5" customHeight="1">
      <c r="A78" s="41"/>
      <c r="B78" s="42"/>
      <c r="C78" s="44"/>
      <c r="D78" s="42"/>
      <c r="E78" s="44"/>
      <c r="F78" s="42"/>
      <c r="G78" s="44"/>
      <c r="H78" s="47"/>
      <c r="I78" s="47"/>
    </row>
    <row r="79" spans="1:9" ht="13.5" customHeight="1">
      <c r="A79" s="41"/>
      <c r="B79" s="42"/>
      <c r="C79" s="44"/>
      <c r="D79" s="42"/>
      <c r="E79" s="44"/>
      <c r="F79" s="42"/>
      <c r="G79" s="44"/>
      <c r="H79" s="47"/>
      <c r="I79" s="47"/>
    </row>
    <row r="80" spans="1:9" ht="13.5" customHeight="1">
      <c r="A80" s="41"/>
      <c r="B80" s="42"/>
      <c r="C80" s="44"/>
      <c r="D80" s="42"/>
      <c r="E80" s="44"/>
      <c r="F80" s="42"/>
      <c r="G80" s="44"/>
      <c r="H80" s="47"/>
      <c r="I80" s="47"/>
    </row>
    <row r="81" spans="1:9" ht="13.5" customHeight="1">
      <c r="A81" s="41"/>
      <c r="B81" s="42"/>
      <c r="C81" s="44"/>
      <c r="D81" s="42"/>
      <c r="E81" s="44"/>
      <c r="F81" s="42"/>
      <c r="G81" s="44"/>
      <c r="H81" s="47"/>
      <c r="I81" s="47"/>
    </row>
    <row r="82" spans="1:9" ht="13.5" customHeight="1">
      <c r="A82" s="41"/>
      <c r="B82" s="42"/>
      <c r="C82" s="44"/>
      <c r="D82" s="42"/>
      <c r="E82" s="44"/>
      <c r="F82" s="42"/>
      <c r="G82" s="44"/>
      <c r="H82" s="47"/>
      <c r="I82" s="47"/>
    </row>
    <row r="83" spans="1:9" ht="13.5" customHeight="1">
      <c r="A83" s="41"/>
      <c r="B83" s="42"/>
      <c r="C83" s="44"/>
      <c r="D83" s="42"/>
      <c r="E83" s="44"/>
      <c r="F83" s="42"/>
      <c r="G83" s="44"/>
      <c r="H83" s="47"/>
      <c r="I83" s="47"/>
    </row>
    <row r="84" spans="1:9" ht="13.5" customHeight="1">
      <c r="A84" s="41"/>
      <c r="B84" s="42"/>
      <c r="C84" s="44"/>
      <c r="D84" s="42"/>
      <c r="E84" s="44"/>
      <c r="F84" s="42"/>
      <c r="G84" s="44"/>
      <c r="H84" s="47"/>
      <c r="I84" s="47"/>
    </row>
    <row r="85" spans="1:9" ht="13.5" customHeight="1">
      <c r="A85" s="41"/>
      <c r="B85" s="42"/>
      <c r="C85" s="44"/>
      <c r="D85" s="42"/>
      <c r="E85" s="44"/>
      <c r="F85" s="42"/>
      <c r="G85" s="44"/>
      <c r="H85" s="47"/>
      <c r="I85" s="47"/>
    </row>
    <row r="86" spans="1:9" ht="13.5" customHeight="1">
      <c r="A86" s="41"/>
      <c r="B86" s="42"/>
      <c r="C86" s="44"/>
      <c r="D86" s="42"/>
      <c r="E86" s="44"/>
      <c r="F86" s="42"/>
      <c r="G86" s="44"/>
      <c r="H86" s="47"/>
      <c r="I86" s="47"/>
    </row>
    <row r="87" spans="1:9" ht="13.5" customHeight="1">
      <c r="A87" s="41"/>
      <c r="B87" s="42"/>
      <c r="C87" s="44"/>
      <c r="D87" s="42"/>
      <c r="E87" s="44"/>
      <c r="F87" s="42"/>
      <c r="G87" s="44"/>
      <c r="H87" s="47"/>
      <c r="I87" s="47"/>
    </row>
    <row r="88" spans="1:9" ht="13.5" customHeight="1">
      <c r="A88" s="41"/>
      <c r="B88" s="42"/>
      <c r="C88" s="44"/>
      <c r="D88" s="42"/>
      <c r="E88" s="44"/>
      <c r="F88" s="42"/>
      <c r="G88" s="44"/>
      <c r="H88" s="47"/>
      <c r="I88" s="47"/>
    </row>
    <row r="89" spans="1:9" ht="13.5" customHeight="1">
      <c r="A89" s="41"/>
      <c r="B89" s="42"/>
      <c r="C89" s="44"/>
      <c r="D89" s="42"/>
      <c r="E89" s="44"/>
      <c r="F89" s="42"/>
      <c r="G89" s="44"/>
      <c r="H89" s="47"/>
      <c r="I89" s="47"/>
    </row>
    <row r="90" spans="1:9" ht="13.5" customHeight="1">
      <c r="A90" s="41"/>
      <c r="B90" s="42"/>
      <c r="C90" s="44"/>
      <c r="D90" s="42"/>
      <c r="E90" s="44"/>
      <c r="F90" s="42"/>
      <c r="G90" s="44"/>
      <c r="H90" s="47"/>
      <c r="I90" s="47"/>
    </row>
    <row r="91" spans="1:9" ht="13.5" customHeight="1">
      <c r="A91" s="41"/>
      <c r="B91" s="42"/>
      <c r="C91" s="44"/>
      <c r="D91" s="42"/>
      <c r="E91" s="44"/>
      <c r="F91" s="42"/>
      <c r="G91" s="44"/>
      <c r="H91" s="47"/>
      <c r="I91" s="47"/>
    </row>
    <row r="92" spans="1:9" ht="13.5" customHeight="1">
      <c r="A92" s="41"/>
      <c r="B92" s="42"/>
      <c r="C92" s="44"/>
      <c r="D92" s="42"/>
      <c r="E92" s="44"/>
      <c r="F92" s="42"/>
      <c r="G92" s="44"/>
      <c r="H92" s="47"/>
      <c r="I92" s="47"/>
    </row>
    <row r="93" spans="1:9" ht="13.5" customHeight="1">
      <c r="A93" s="41"/>
      <c r="B93" s="42"/>
      <c r="C93" s="44"/>
      <c r="D93" s="42"/>
      <c r="E93" s="44"/>
      <c r="F93" s="42"/>
      <c r="G93" s="44"/>
      <c r="H93" s="47"/>
      <c r="I93" s="47"/>
    </row>
    <row r="94" spans="1:9" ht="13.5" customHeight="1">
      <c r="A94" s="41"/>
      <c r="B94" s="42"/>
      <c r="C94" s="44"/>
      <c r="D94" s="42"/>
      <c r="E94" s="44"/>
      <c r="F94" s="42"/>
      <c r="G94" s="44"/>
      <c r="H94" s="47"/>
      <c r="I94" s="47"/>
    </row>
    <row r="95" spans="1:9" ht="13.5" customHeight="1">
      <c r="A95" s="41"/>
      <c r="B95" s="42"/>
      <c r="C95" s="44"/>
      <c r="D95" s="42"/>
      <c r="E95" s="44"/>
      <c r="F95" s="42"/>
      <c r="G95" s="44"/>
      <c r="H95" s="47"/>
      <c r="I95" s="47"/>
    </row>
    <row r="96" spans="1:9" ht="13.5" customHeight="1">
      <c r="A96" s="41"/>
      <c r="B96" s="42"/>
      <c r="C96" s="44"/>
      <c r="D96" s="42"/>
      <c r="E96" s="44"/>
      <c r="F96" s="42"/>
      <c r="G96" s="44"/>
      <c r="H96" s="47"/>
      <c r="I96" s="47"/>
    </row>
    <row r="97" spans="1:9" ht="13.5" customHeight="1">
      <c r="A97" s="41"/>
      <c r="B97" s="42"/>
      <c r="C97" s="44"/>
      <c r="D97" s="42"/>
      <c r="E97" s="44"/>
      <c r="F97" s="42"/>
      <c r="G97" s="44"/>
      <c r="H97" s="47"/>
      <c r="I97" s="47"/>
    </row>
    <row r="98" spans="1:9" ht="13.5" customHeight="1">
      <c r="A98" s="41"/>
      <c r="B98" s="42"/>
      <c r="C98" s="44"/>
      <c r="D98" s="42"/>
      <c r="E98" s="44"/>
      <c r="F98" s="42"/>
      <c r="G98" s="44"/>
      <c r="H98" s="47"/>
      <c r="I98" s="47"/>
    </row>
    <row r="99" spans="1:9" ht="13.5" customHeight="1">
      <c r="A99" s="41"/>
      <c r="B99" s="42"/>
      <c r="C99" s="44"/>
      <c r="D99" s="42"/>
      <c r="E99" s="44"/>
      <c r="F99" s="42"/>
      <c r="G99" s="44"/>
      <c r="H99" s="47"/>
      <c r="I99" s="47"/>
    </row>
    <row r="100" spans="1:9" ht="13.5" customHeight="1">
      <c r="A100" s="41"/>
      <c r="B100" s="42"/>
      <c r="C100" s="44"/>
      <c r="D100" s="42"/>
      <c r="E100" s="44"/>
      <c r="F100" s="42"/>
      <c r="G100" s="44"/>
      <c r="H100" s="47"/>
      <c r="I100" s="47"/>
    </row>
    <row r="101" spans="1:9" ht="13.5" customHeight="1">
      <c r="A101" s="41"/>
      <c r="B101" s="42"/>
      <c r="C101" s="44"/>
      <c r="D101" s="42"/>
      <c r="E101" s="44"/>
      <c r="F101" s="42"/>
      <c r="G101" s="44"/>
      <c r="H101" s="47"/>
      <c r="I101" s="47"/>
    </row>
    <row r="102" spans="1:9" ht="13.5" customHeight="1">
      <c r="A102" s="41"/>
      <c r="B102" s="42"/>
      <c r="C102" s="44"/>
      <c r="D102" s="42"/>
      <c r="E102" s="44"/>
      <c r="F102" s="42"/>
      <c r="G102" s="44"/>
      <c r="H102" s="47"/>
      <c r="I102" s="47"/>
    </row>
    <row r="103" spans="1:9" ht="13.5" customHeight="1">
      <c r="A103" s="41"/>
      <c r="B103" s="42"/>
      <c r="C103" s="44"/>
      <c r="D103" s="42"/>
      <c r="E103" s="44"/>
      <c r="F103" s="42"/>
      <c r="G103" s="44"/>
      <c r="H103" s="47"/>
      <c r="I103" s="47"/>
    </row>
    <row r="104" spans="1:9" ht="13.5" customHeight="1">
      <c r="A104" s="41"/>
      <c r="B104" s="42"/>
      <c r="C104" s="44"/>
      <c r="D104" s="42"/>
      <c r="E104" s="44"/>
      <c r="F104" s="42"/>
      <c r="G104" s="44"/>
      <c r="H104" s="47"/>
      <c r="I104" s="47"/>
    </row>
    <row r="105" spans="1:9" ht="13.5" customHeight="1">
      <c r="A105" s="41"/>
      <c r="B105" s="42"/>
      <c r="C105" s="44"/>
      <c r="D105" s="42"/>
      <c r="E105" s="44"/>
      <c r="F105" s="42"/>
      <c r="G105" s="44"/>
      <c r="H105" s="47"/>
      <c r="I105" s="47"/>
    </row>
  </sheetData>
  <sheetProtection/>
  <printOptions/>
  <pageMargins left="0.7" right="0.7" top="0.83" bottom="0.75" header="0.3" footer="0.3"/>
  <pageSetup horizontalDpi="600" verticalDpi="600" orientation="portrait" scale="85" r:id="rId1"/>
  <headerFooter>
    <oddHeader>&amp;RProduce Brokers Limited
1349/A, North Agrabad, D.T. Road Askarabad (1st floor)
Chattogram-4224
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6.7109375" style="7" customWidth="1"/>
    <col min="2" max="2" width="9.421875" style="31" bestFit="1" customWidth="1"/>
    <col min="3" max="3" width="9.421875" style="32" bestFit="1" customWidth="1"/>
    <col min="4" max="4" width="8.8515625" style="31" customWidth="1"/>
    <col min="5" max="5" width="9.421875" style="30" bestFit="1" customWidth="1"/>
    <col min="6" max="6" width="9.421875" style="31" bestFit="1" customWidth="1"/>
    <col min="7" max="7" width="10.421875" style="30" bestFit="1" customWidth="1"/>
    <col min="8" max="8" width="13.140625" style="48" bestFit="1" customWidth="1"/>
    <col min="9" max="9" width="8.8515625" style="48" customWidth="1"/>
    <col min="10" max="16384" width="8.8515625" style="7" customWidth="1"/>
  </cols>
  <sheetData>
    <row r="1" spans="1:10" ht="15" customHeight="1">
      <c r="A1" s="103" t="s">
        <v>244</v>
      </c>
      <c r="B1" s="104"/>
      <c r="C1" s="105"/>
      <c r="D1" s="104"/>
      <c r="E1" s="106"/>
      <c r="F1" s="104"/>
      <c r="G1" s="105"/>
      <c r="H1" s="107"/>
      <c r="I1" s="107"/>
      <c r="J1" s="1"/>
    </row>
    <row r="2" spans="1:10" ht="15" customHeight="1">
      <c r="A2" s="103" t="s">
        <v>245</v>
      </c>
      <c r="B2" s="104"/>
      <c r="C2" s="105"/>
      <c r="D2" s="104"/>
      <c r="E2" s="106"/>
      <c r="F2" s="104"/>
      <c r="G2" s="105"/>
      <c r="H2" s="107"/>
      <c r="I2" s="107"/>
      <c r="J2" s="1"/>
    </row>
    <row r="3" spans="1:10" ht="15" customHeight="1">
      <c r="A3" s="103" t="s">
        <v>110</v>
      </c>
      <c r="B3" s="104"/>
      <c r="C3" s="105"/>
      <c r="D3" s="104"/>
      <c r="E3" s="106"/>
      <c r="F3" s="104"/>
      <c r="G3" s="105"/>
      <c r="H3" s="107"/>
      <c r="I3" s="107"/>
      <c r="J3" s="1"/>
    </row>
    <row r="4" spans="1:10" ht="15" customHeight="1">
      <c r="A4" s="103" t="s">
        <v>5</v>
      </c>
      <c r="B4" s="104"/>
      <c r="C4" s="105"/>
      <c r="D4" s="104"/>
      <c r="E4" s="106"/>
      <c r="F4" s="104"/>
      <c r="G4" s="105"/>
      <c r="H4" s="107"/>
      <c r="I4" s="107"/>
      <c r="J4" s="1"/>
    </row>
    <row r="5" spans="1:10" ht="15" customHeight="1">
      <c r="A5" s="103" t="s">
        <v>6</v>
      </c>
      <c r="B5" s="104"/>
      <c r="C5" s="105"/>
      <c r="D5" s="104"/>
      <c r="E5" s="108"/>
      <c r="F5" s="104"/>
      <c r="G5" s="105"/>
      <c r="H5" s="107"/>
      <c r="I5" s="107"/>
      <c r="J5" s="1"/>
    </row>
    <row r="6" spans="1:10" ht="15" customHeight="1">
      <c r="A6" s="103" t="s">
        <v>111</v>
      </c>
      <c r="B6" s="104"/>
      <c r="C6" s="105"/>
      <c r="D6" s="104"/>
      <c r="E6" s="106"/>
      <c r="F6" s="104"/>
      <c r="G6" s="105"/>
      <c r="H6" s="107"/>
      <c r="I6" s="107"/>
      <c r="J6" s="1"/>
    </row>
    <row r="7" spans="1:10" ht="15" customHeight="1">
      <c r="A7" s="103" t="s">
        <v>112</v>
      </c>
      <c r="B7" s="104"/>
      <c r="C7" s="105"/>
      <c r="D7" s="104"/>
      <c r="E7" s="109" t="s">
        <v>113</v>
      </c>
      <c r="F7" s="104"/>
      <c r="G7" s="105"/>
      <c r="H7" s="107"/>
      <c r="I7" s="107"/>
      <c r="J7" s="1"/>
    </row>
    <row r="8" spans="1:10" ht="15" customHeight="1">
      <c r="A8" s="103" t="s">
        <v>246</v>
      </c>
      <c r="B8" s="110"/>
      <c r="C8" s="111"/>
      <c r="D8" s="110"/>
      <c r="E8" s="112"/>
      <c r="F8" s="110"/>
      <c r="G8" s="111"/>
      <c r="H8" s="113"/>
      <c r="I8" s="113"/>
      <c r="J8" s="1"/>
    </row>
    <row r="9" spans="1:10" ht="15" customHeight="1">
      <c r="A9" s="127"/>
      <c r="B9" s="179" t="s">
        <v>45</v>
      </c>
      <c r="C9" s="185"/>
      <c r="D9" s="179" t="s">
        <v>46</v>
      </c>
      <c r="E9" s="125"/>
      <c r="F9" s="179"/>
      <c r="G9" s="179" t="s">
        <v>47</v>
      </c>
      <c r="H9" s="131"/>
      <c r="I9" s="131"/>
      <c r="J9" s="1"/>
    </row>
    <row r="10" spans="1:10" ht="15" customHeight="1">
      <c r="A10" s="184" t="s">
        <v>48</v>
      </c>
      <c r="B10" s="180" t="s">
        <v>49</v>
      </c>
      <c r="C10" s="181" t="s">
        <v>50</v>
      </c>
      <c r="D10" s="180" t="s">
        <v>49</v>
      </c>
      <c r="E10" s="182" t="s">
        <v>50</v>
      </c>
      <c r="F10" s="180" t="s">
        <v>49</v>
      </c>
      <c r="G10" s="182" t="s">
        <v>50</v>
      </c>
      <c r="H10" s="183" t="s">
        <v>51</v>
      </c>
      <c r="I10" s="183" t="s">
        <v>52</v>
      </c>
      <c r="J10" s="1"/>
    </row>
    <row r="11" spans="1:10" ht="15" customHeight="1">
      <c r="A11" s="132" t="s">
        <v>53</v>
      </c>
      <c r="B11" s="136">
        <v>372</v>
      </c>
      <c r="C11" s="178">
        <v>18544.5</v>
      </c>
      <c r="D11" s="136">
        <v>0</v>
      </c>
      <c r="E11" s="134">
        <v>0</v>
      </c>
      <c r="F11" s="136">
        <v>372</v>
      </c>
      <c r="G11" s="178">
        <v>18544.5</v>
      </c>
      <c r="H11" s="135" t="s">
        <v>247</v>
      </c>
      <c r="I11" s="135">
        <v>214.26</v>
      </c>
      <c r="J11" s="1"/>
    </row>
    <row r="12" spans="1:10" ht="15" customHeight="1">
      <c r="A12" s="132" t="s">
        <v>128</v>
      </c>
      <c r="B12" s="136">
        <v>10</v>
      </c>
      <c r="C12" s="178">
        <v>498.5</v>
      </c>
      <c r="D12" s="136">
        <v>15</v>
      </c>
      <c r="E12" s="134">
        <v>749</v>
      </c>
      <c r="F12" s="136">
        <v>25</v>
      </c>
      <c r="G12" s="178">
        <v>1247.5</v>
      </c>
      <c r="H12" s="135" t="s">
        <v>248</v>
      </c>
      <c r="I12" s="135">
        <v>165.63</v>
      </c>
      <c r="J12" s="1"/>
    </row>
    <row r="13" spans="1:10" ht="15" customHeight="1">
      <c r="A13" s="132" t="s">
        <v>171</v>
      </c>
      <c r="B13" s="136">
        <v>10</v>
      </c>
      <c r="C13" s="178">
        <v>498.5</v>
      </c>
      <c r="D13" s="136">
        <v>0</v>
      </c>
      <c r="E13" s="134">
        <v>0</v>
      </c>
      <c r="F13" s="136">
        <v>10</v>
      </c>
      <c r="G13" s="178">
        <v>498.5</v>
      </c>
      <c r="H13" s="135" t="s">
        <v>249</v>
      </c>
      <c r="I13" s="135">
        <v>277</v>
      </c>
      <c r="J13" s="1"/>
    </row>
    <row r="14" spans="1:10" ht="15" customHeight="1">
      <c r="A14" s="132" t="s">
        <v>205</v>
      </c>
      <c r="B14" s="136">
        <v>22</v>
      </c>
      <c r="C14" s="178">
        <v>1095.5</v>
      </c>
      <c r="D14" s="136">
        <v>0</v>
      </c>
      <c r="E14" s="134">
        <v>0</v>
      </c>
      <c r="F14" s="136">
        <v>22</v>
      </c>
      <c r="G14" s="178">
        <v>1095.5</v>
      </c>
      <c r="H14" s="135" t="s">
        <v>250</v>
      </c>
      <c r="I14" s="135">
        <v>143.14</v>
      </c>
      <c r="J14" s="1"/>
    </row>
    <row r="15" spans="1:10" ht="15" customHeight="1">
      <c r="A15" s="132" t="s">
        <v>174</v>
      </c>
      <c r="B15" s="136">
        <v>70</v>
      </c>
      <c r="C15" s="178">
        <v>3489.5</v>
      </c>
      <c r="D15" s="136">
        <v>0</v>
      </c>
      <c r="E15" s="134">
        <v>0</v>
      </c>
      <c r="F15" s="136">
        <v>70</v>
      </c>
      <c r="G15" s="178">
        <v>3489.5</v>
      </c>
      <c r="H15" s="135" t="s">
        <v>251</v>
      </c>
      <c r="I15" s="135">
        <v>221</v>
      </c>
      <c r="J15" s="1"/>
    </row>
    <row r="16" spans="1:10" ht="15" customHeight="1">
      <c r="A16" s="132" t="s">
        <v>208</v>
      </c>
      <c r="B16" s="136">
        <v>30</v>
      </c>
      <c r="C16" s="178">
        <v>1495.5</v>
      </c>
      <c r="D16" s="136">
        <v>0</v>
      </c>
      <c r="E16" s="134">
        <v>0</v>
      </c>
      <c r="F16" s="136">
        <v>30</v>
      </c>
      <c r="G16" s="178">
        <v>1495.5</v>
      </c>
      <c r="H16" s="135" t="s">
        <v>252</v>
      </c>
      <c r="I16" s="135">
        <v>178</v>
      </c>
      <c r="J16" s="1"/>
    </row>
    <row r="17" spans="1:10" ht="15" customHeight="1">
      <c r="A17" s="132" t="s">
        <v>130</v>
      </c>
      <c r="B17" s="136">
        <v>10</v>
      </c>
      <c r="C17" s="178">
        <v>498.5</v>
      </c>
      <c r="D17" s="136">
        <v>0</v>
      </c>
      <c r="E17" s="134">
        <v>0</v>
      </c>
      <c r="F17" s="136">
        <v>10</v>
      </c>
      <c r="G17" s="178">
        <v>498.5</v>
      </c>
      <c r="H17" s="135">
        <v>68294.5</v>
      </c>
      <c r="I17" s="135">
        <v>137</v>
      </c>
      <c r="J17" s="1"/>
    </row>
    <row r="18" spans="1:10" ht="15" customHeight="1">
      <c r="A18" s="132" t="s">
        <v>63</v>
      </c>
      <c r="B18" s="136">
        <v>10</v>
      </c>
      <c r="C18" s="178">
        <v>498.5</v>
      </c>
      <c r="D18" s="136">
        <v>0</v>
      </c>
      <c r="E18" s="134">
        <v>0</v>
      </c>
      <c r="F18" s="136">
        <v>10</v>
      </c>
      <c r="G18" s="178">
        <v>498.5</v>
      </c>
      <c r="H18" s="135" t="s">
        <v>253</v>
      </c>
      <c r="I18" s="135">
        <v>278</v>
      </c>
      <c r="J18" s="1"/>
    </row>
    <row r="19" spans="1:10" ht="15" customHeight="1">
      <c r="A19" s="132" t="s">
        <v>67</v>
      </c>
      <c r="B19" s="136">
        <v>40</v>
      </c>
      <c r="C19" s="178">
        <v>1994</v>
      </c>
      <c r="D19" s="136">
        <v>100</v>
      </c>
      <c r="E19" s="134">
        <v>4992.7</v>
      </c>
      <c r="F19" s="136">
        <v>140</v>
      </c>
      <c r="G19" s="178">
        <v>6986.7</v>
      </c>
      <c r="H19" s="135" t="s">
        <v>254</v>
      </c>
      <c r="I19" s="135">
        <v>202</v>
      </c>
      <c r="J19" s="1"/>
    </row>
    <row r="20" spans="1:10" ht="15" customHeight="1">
      <c r="A20" s="132" t="s">
        <v>71</v>
      </c>
      <c r="B20" s="136">
        <v>581</v>
      </c>
      <c r="C20" s="178">
        <v>28963</v>
      </c>
      <c r="D20" s="136">
        <v>97</v>
      </c>
      <c r="E20" s="134">
        <v>4841.5</v>
      </c>
      <c r="F20" s="136">
        <v>678</v>
      </c>
      <c r="G20" s="178">
        <v>33804.5</v>
      </c>
      <c r="H20" s="135" t="s">
        <v>255</v>
      </c>
      <c r="I20" s="135">
        <v>195.35</v>
      </c>
      <c r="J20" s="1"/>
    </row>
    <row r="21" spans="1:10" ht="15" customHeight="1">
      <c r="A21" s="132" t="s">
        <v>141</v>
      </c>
      <c r="B21" s="127"/>
      <c r="C21" s="178">
        <v>0</v>
      </c>
      <c r="D21" s="136">
        <v>10</v>
      </c>
      <c r="E21" s="134">
        <v>499.2</v>
      </c>
      <c r="F21" s="136">
        <v>10</v>
      </c>
      <c r="G21" s="178">
        <v>499.2</v>
      </c>
      <c r="H21" s="135">
        <v>77376</v>
      </c>
      <c r="I21" s="135">
        <v>155</v>
      </c>
      <c r="J21" s="1"/>
    </row>
    <row r="22" spans="1:10" ht="15" customHeight="1">
      <c r="A22" s="132" t="s">
        <v>77</v>
      </c>
      <c r="B22" s="136">
        <v>20</v>
      </c>
      <c r="C22" s="178">
        <v>997</v>
      </c>
      <c r="D22" s="136">
        <v>0</v>
      </c>
      <c r="E22" s="134">
        <v>0</v>
      </c>
      <c r="F22" s="136">
        <v>20</v>
      </c>
      <c r="G22" s="178">
        <v>997</v>
      </c>
      <c r="H22" s="135" t="s">
        <v>256</v>
      </c>
      <c r="I22" s="135">
        <v>216.5</v>
      </c>
      <c r="J22" s="1"/>
    </row>
    <row r="23" spans="1:10" ht="15" customHeight="1">
      <c r="A23" s="132" t="s">
        <v>257</v>
      </c>
      <c r="B23" s="136">
        <v>20</v>
      </c>
      <c r="C23" s="178">
        <v>997</v>
      </c>
      <c r="D23" s="136">
        <v>0</v>
      </c>
      <c r="E23" s="134">
        <v>0</v>
      </c>
      <c r="F23" s="136">
        <v>20</v>
      </c>
      <c r="G23" s="178">
        <v>997</v>
      </c>
      <c r="H23" s="135" t="s">
        <v>258</v>
      </c>
      <c r="I23" s="135">
        <v>205</v>
      </c>
      <c r="J23" s="1"/>
    </row>
    <row r="24" spans="1:10" ht="15" customHeight="1">
      <c r="A24" s="132" t="s">
        <v>79</v>
      </c>
      <c r="B24" s="127"/>
      <c r="C24" s="178">
        <v>0</v>
      </c>
      <c r="D24" s="136">
        <v>5</v>
      </c>
      <c r="E24" s="134">
        <v>249.5</v>
      </c>
      <c r="F24" s="136">
        <v>5</v>
      </c>
      <c r="G24" s="178">
        <v>249.5</v>
      </c>
      <c r="H24" s="135">
        <v>51896</v>
      </c>
      <c r="I24" s="135">
        <v>208</v>
      </c>
      <c r="J24" s="1"/>
    </row>
    <row r="25" spans="1:10" ht="15" customHeight="1">
      <c r="A25" s="132" t="s">
        <v>221</v>
      </c>
      <c r="B25" s="136">
        <v>310</v>
      </c>
      <c r="C25" s="178">
        <v>15453.5</v>
      </c>
      <c r="D25" s="136">
        <v>80</v>
      </c>
      <c r="E25" s="134">
        <v>3993.9</v>
      </c>
      <c r="F25" s="136">
        <v>390</v>
      </c>
      <c r="G25" s="178">
        <v>19447.4</v>
      </c>
      <c r="H25" s="135" t="s">
        <v>259</v>
      </c>
      <c r="I25" s="135">
        <v>186.06</v>
      </c>
      <c r="J25" s="1"/>
    </row>
    <row r="26" spans="1:10" ht="15" customHeight="1">
      <c r="A26" s="132" t="s">
        <v>81</v>
      </c>
      <c r="B26" s="136">
        <v>10</v>
      </c>
      <c r="C26" s="178">
        <v>498.5</v>
      </c>
      <c r="D26" s="136">
        <v>0</v>
      </c>
      <c r="E26" s="134">
        <v>0</v>
      </c>
      <c r="F26" s="136">
        <v>10</v>
      </c>
      <c r="G26" s="178">
        <v>498.5</v>
      </c>
      <c r="H26" s="135" t="s">
        <v>260</v>
      </c>
      <c r="I26" s="135">
        <v>220</v>
      </c>
      <c r="J26" s="1"/>
    </row>
    <row r="27" spans="1:10" ht="15" customHeight="1">
      <c r="A27" s="132" t="s">
        <v>83</v>
      </c>
      <c r="B27" s="136">
        <v>230</v>
      </c>
      <c r="C27" s="178">
        <v>11467</v>
      </c>
      <c r="D27" s="136">
        <v>15</v>
      </c>
      <c r="E27" s="134">
        <v>747.9</v>
      </c>
      <c r="F27" s="136">
        <v>245</v>
      </c>
      <c r="G27" s="178">
        <v>12214.9</v>
      </c>
      <c r="H27" s="135" t="s">
        <v>261</v>
      </c>
      <c r="I27" s="135">
        <v>211.11</v>
      </c>
      <c r="J27" s="1"/>
    </row>
    <row r="28" spans="1:10" ht="15" customHeight="1">
      <c r="A28" s="132" t="s">
        <v>85</v>
      </c>
      <c r="B28" s="136">
        <v>10</v>
      </c>
      <c r="C28" s="178">
        <v>498.5</v>
      </c>
      <c r="D28" s="136">
        <v>0</v>
      </c>
      <c r="E28" s="134">
        <v>0</v>
      </c>
      <c r="F28" s="136">
        <v>10</v>
      </c>
      <c r="G28" s="178">
        <v>498.5</v>
      </c>
      <c r="H28" s="135">
        <v>62312.5</v>
      </c>
      <c r="I28" s="135">
        <v>125</v>
      </c>
      <c r="J28" s="1"/>
    </row>
    <row r="29" spans="1:10" ht="15" customHeight="1">
      <c r="A29" s="132" t="s">
        <v>150</v>
      </c>
      <c r="B29" s="136">
        <v>41</v>
      </c>
      <c r="C29" s="178">
        <v>2044</v>
      </c>
      <c r="D29" s="136">
        <v>4</v>
      </c>
      <c r="E29" s="134">
        <v>199.5</v>
      </c>
      <c r="F29" s="136">
        <v>45</v>
      </c>
      <c r="G29" s="178">
        <v>2243.5</v>
      </c>
      <c r="H29" s="135" t="s">
        <v>262</v>
      </c>
      <c r="I29" s="135">
        <v>180.28</v>
      </c>
      <c r="J29" s="1"/>
    </row>
    <row r="30" spans="1:10" ht="15" customHeight="1">
      <c r="A30" s="132" t="s">
        <v>226</v>
      </c>
      <c r="B30" s="127"/>
      <c r="C30" s="178">
        <v>0</v>
      </c>
      <c r="D30" s="136">
        <v>45</v>
      </c>
      <c r="E30" s="134">
        <v>2243.6</v>
      </c>
      <c r="F30" s="136">
        <v>45</v>
      </c>
      <c r="G30" s="178">
        <v>2243.6</v>
      </c>
      <c r="H30" s="135" t="s">
        <v>263</v>
      </c>
      <c r="I30" s="135">
        <v>209.66</v>
      </c>
      <c r="J30" s="1"/>
    </row>
    <row r="31" spans="1:10" ht="15" customHeight="1">
      <c r="A31" s="132" t="s">
        <v>92</v>
      </c>
      <c r="B31" s="127"/>
      <c r="C31" s="178">
        <v>0</v>
      </c>
      <c r="D31" s="136">
        <v>7</v>
      </c>
      <c r="E31" s="134">
        <v>349.2</v>
      </c>
      <c r="F31" s="136">
        <v>7</v>
      </c>
      <c r="G31" s="178">
        <v>349.2</v>
      </c>
      <c r="H31" s="135">
        <v>86252.4</v>
      </c>
      <c r="I31" s="135">
        <v>247</v>
      </c>
      <c r="J31" s="1"/>
    </row>
    <row r="32" spans="1:10" ht="15" customHeight="1">
      <c r="A32" s="132" t="s">
        <v>229</v>
      </c>
      <c r="B32" s="136">
        <v>40</v>
      </c>
      <c r="C32" s="178">
        <v>1994</v>
      </c>
      <c r="D32" s="136">
        <v>0</v>
      </c>
      <c r="E32" s="134">
        <v>0</v>
      </c>
      <c r="F32" s="136">
        <v>40</v>
      </c>
      <c r="G32" s="178">
        <v>1994</v>
      </c>
      <c r="H32" s="135" t="s">
        <v>264</v>
      </c>
      <c r="I32" s="135">
        <v>131.5</v>
      </c>
      <c r="J32" s="1"/>
    </row>
    <row r="33" spans="1:10" ht="15" customHeight="1">
      <c r="A33" s="132" t="s">
        <v>187</v>
      </c>
      <c r="B33" s="136">
        <v>10</v>
      </c>
      <c r="C33" s="178">
        <v>498.5</v>
      </c>
      <c r="D33" s="136">
        <v>0</v>
      </c>
      <c r="E33" s="134">
        <v>0</v>
      </c>
      <c r="F33" s="136">
        <v>10</v>
      </c>
      <c r="G33" s="178">
        <v>498.5</v>
      </c>
      <c r="H33" s="135">
        <v>60817</v>
      </c>
      <c r="I33" s="135">
        <v>122</v>
      </c>
      <c r="J33" s="1"/>
    </row>
    <row r="34" spans="1:10" ht="15" customHeight="1">
      <c r="A34" s="132" t="s">
        <v>94</v>
      </c>
      <c r="B34" s="136">
        <v>30</v>
      </c>
      <c r="C34" s="178">
        <v>1495.5</v>
      </c>
      <c r="D34" s="136">
        <v>60</v>
      </c>
      <c r="E34" s="134">
        <v>2995.8</v>
      </c>
      <c r="F34" s="136">
        <v>90</v>
      </c>
      <c r="G34" s="178">
        <v>4491.3</v>
      </c>
      <c r="H34" s="135" t="s">
        <v>265</v>
      </c>
      <c r="I34" s="135">
        <v>184.69</v>
      </c>
      <c r="J34" s="1"/>
    </row>
    <row r="35" spans="1:10" ht="15" customHeight="1">
      <c r="A35" s="132" t="s">
        <v>266</v>
      </c>
      <c r="B35" s="127"/>
      <c r="C35" s="178">
        <v>0</v>
      </c>
      <c r="D35" s="136">
        <v>17</v>
      </c>
      <c r="E35" s="134">
        <v>848.4</v>
      </c>
      <c r="F35" s="136">
        <v>17</v>
      </c>
      <c r="G35" s="178">
        <v>848.4</v>
      </c>
      <c r="H35" s="135" t="s">
        <v>267</v>
      </c>
      <c r="I35" s="135">
        <v>206.28</v>
      </c>
      <c r="J35" s="1"/>
    </row>
    <row r="36" spans="1:10" ht="15" customHeight="1">
      <c r="A36" s="132" t="s">
        <v>96</v>
      </c>
      <c r="B36" s="136">
        <v>40</v>
      </c>
      <c r="C36" s="178">
        <v>1994</v>
      </c>
      <c r="D36" s="136">
        <v>0</v>
      </c>
      <c r="E36" s="134">
        <v>0</v>
      </c>
      <c r="F36" s="136">
        <v>40</v>
      </c>
      <c r="G36" s="178">
        <v>1994</v>
      </c>
      <c r="H36" s="135" t="s">
        <v>268</v>
      </c>
      <c r="I36" s="135">
        <v>232.75</v>
      </c>
      <c r="J36" s="1"/>
    </row>
    <row r="37" spans="1:10" ht="15" customHeight="1">
      <c r="A37" s="132" t="s">
        <v>98</v>
      </c>
      <c r="B37" s="136">
        <v>235</v>
      </c>
      <c r="C37" s="178">
        <v>11625.5</v>
      </c>
      <c r="D37" s="136">
        <v>10</v>
      </c>
      <c r="E37" s="134">
        <v>499.2</v>
      </c>
      <c r="F37" s="136">
        <v>245</v>
      </c>
      <c r="G37" s="178">
        <v>12214.7</v>
      </c>
      <c r="H37" s="135">
        <v>2318526</v>
      </c>
      <c r="I37" s="135">
        <v>189.8144039558892</v>
      </c>
      <c r="J37" s="1"/>
    </row>
    <row r="38" spans="1:10" ht="15" customHeight="1">
      <c r="A38" s="132" t="s">
        <v>237</v>
      </c>
      <c r="B38" s="136">
        <v>40</v>
      </c>
      <c r="C38" s="178">
        <v>1994</v>
      </c>
      <c r="D38" s="136">
        <v>20</v>
      </c>
      <c r="E38" s="134">
        <v>997.6</v>
      </c>
      <c r="F38" s="136">
        <v>60</v>
      </c>
      <c r="G38" s="178">
        <v>2991.6</v>
      </c>
      <c r="H38" s="135" t="s">
        <v>269</v>
      </c>
      <c r="I38" s="135">
        <v>204</v>
      </c>
      <c r="J38" s="1"/>
    </row>
    <row r="39" spans="1:10" ht="15" customHeight="1">
      <c r="A39" s="132" t="s">
        <v>99</v>
      </c>
      <c r="B39" s="127"/>
      <c r="C39" s="178">
        <v>0</v>
      </c>
      <c r="D39" s="136">
        <v>118</v>
      </c>
      <c r="E39" s="134">
        <v>5883</v>
      </c>
      <c r="F39" s="136">
        <v>118</v>
      </c>
      <c r="G39" s="178">
        <v>5883</v>
      </c>
      <c r="H39" s="135" t="s">
        <v>270</v>
      </c>
      <c r="I39" s="135">
        <v>226.58</v>
      </c>
      <c r="J39" s="1"/>
    </row>
    <row r="40" spans="1:10" ht="15" customHeight="1">
      <c r="A40" s="132" t="s">
        <v>271</v>
      </c>
      <c r="B40" s="136">
        <v>11</v>
      </c>
      <c r="C40" s="178">
        <v>548.5</v>
      </c>
      <c r="D40" s="136">
        <v>0</v>
      </c>
      <c r="E40" s="134">
        <v>0</v>
      </c>
      <c r="F40" s="136">
        <v>11</v>
      </c>
      <c r="G40" s="178">
        <v>548.5</v>
      </c>
      <c r="H40" s="135" t="s">
        <v>272</v>
      </c>
      <c r="I40" s="135">
        <v>266</v>
      </c>
      <c r="J40" s="1"/>
    </row>
    <row r="41" spans="1:10" ht="15" customHeight="1">
      <c r="A41" s="132" t="s">
        <v>14</v>
      </c>
      <c r="B41" s="152">
        <v>2202</v>
      </c>
      <c r="C41" s="178" t="s">
        <v>273</v>
      </c>
      <c r="D41" s="136">
        <v>603</v>
      </c>
      <c r="E41" s="134">
        <v>30090</v>
      </c>
      <c r="F41" s="152">
        <v>2805</v>
      </c>
      <c r="G41" s="178" t="s">
        <v>274</v>
      </c>
      <c r="H41" s="135" t="s">
        <v>275</v>
      </c>
      <c r="I41" s="135">
        <v>198.86</v>
      </c>
      <c r="J41" s="1"/>
    </row>
    <row r="42" spans="1:10" s="177" customFormat="1" ht="15" customHeight="1">
      <c r="A42" s="132"/>
      <c r="B42" s="152"/>
      <c r="C42" s="178"/>
      <c r="D42" s="136"/>
      <c r="E42" s="134"/>
      <c r="F42" s="152"/>
      <c r="G42" s="178"/>
      <c r="H42" s="135"/>
      <c r="I42" s="135"/>
      <c r="J42" s="1"/>
    </row>
    <row r="43" spans="1:10" ht="15" customHeight="1">
      <c r="A43" s="103" t="s">
        <v>117</v>
      </c>
      <c r="B43" s="124"/>
      <c r="C43" s="125"/>
      <c r="D43" s="124"/>
      <c r="E43" s="126"/>
      <c r="F43" s="124"/>
      <c r="G43" s="125"/>
      <c r="J43" s="1"/>
    </row>
    <row r="44" spans="1:10" ht="15" customHeight="1">
      <c r="A44" s="103" t="s">
        <v>118</v>
      </c>
      <c r="B44" s="124"/>
      <c r="C44" s="125"/>
      <c r="D44" s="124"/>
      <c r="E44" s="126"/>
      <c r="F44" s="124"/>
      <c r="G44" s="125" t="s">
        <v>119</v>
      </c>
      <c r="J44" s="1"/>
    </row>
    <row r="45" spans="1:10" ht="15" customHeight="1">
      <c r="A45" s="103" t="s">
        <v>120</v>
      </c>
      <c r="B45" s="124"/>
      <c r="C45" s="125"/>
      <c r="D45" s="124"/>
      <c r="E45" s="127"/>
      <c r="F45" s="127"/>
      <c r="G45" s="128" t="s">
        <v>121</v>
      </c>
      <c r="J45" s="1"/>
    </row>
    <row r="46" spans="1:10" ht="15" customHeight="1">
      <c r="A46" s="103" t="s">
        <v>122</v>
      </c>
      <c r="B46" s="124"/>
      <c r="C46" s="125"/>
      <c r="D46" s="124"/>
      <c r="E46" s="126"/>
      <c r="F46" s="124"/>
      <c r="G46" s="125"/>
      <c r="J46" s="1"/>
    </row>
    <row r="47" spans="1:10" ht="15" customHeight="1">
      <c r="A47" s="103" t="s">
        <v>123</v>
      </c>
      <c r="B47" s="124"/>
      <c r="C47" s="125"/>
      <c r="D47" s="124"/>
      <c r="E47" s="126"/>
      <c r="F47" s="124"/>
      <c r="G47" s="125"/>
      <c r="J47" s="1"/>
    </row>
    <row r="48" spans="1:10" ht="15" customHeight="1">
      <c r="A48" s="1"/>
      <c r="C48" s="123"/>
      <c r="J48" s="1"/>
    </row>
    <row r="49" spans="1:10" ht="15" customHeight="1">
      <c r="A49" s="1"/>
      <c r="C49" s="123"/>
      <c r="J49" s="1"/>
    </row>
    <row r="50" spans="1:10" ht="15" customHeight="1">
      <c r="A50" s="1"/>
      <c r="C50" s="123"/>
      <c r="J50" s="1"/>
    </row>
    <row r="51" spans="1:10" ht="15" customHeight="1">
      <c r="A51" s="1"/>
      <c r="C51" s="123"/>
      <c r="J51" s="1"/>
    </row>
    <row r="52" spans="1:10" ht="15" customHeight="1">
      <c r="A52" s="1"/>
      <c r="C52" s="123"/>
      <c r="J52" s="1"/>
    </row>
    <row r="53" spans="1:10" ht="15" customHeight="1">
      <c r="A53" s="1"/>
      <c r="C53" s="123"/>
      <c r="J53" s="1"/>
    </row>
    <row r="54" spans="1:10" ht="15" customHeight="1">
      <c r="A54" s="1"/>
      <c r="C54" s="123"/>
      <c r="J54" s="1"/>
    </row>
    <row r="55" spans="1:9" ht="15" customHeight="1">
      <c r="A55" s="41"/>
      <c r="B55" s="42"/>
      <c r="C55" s="43"/>
      <c r="D55" s="42"/>
      <c r="E55" s="44"/>
      <c r="F55" s="42"/>
      <c r="G55" s="44"/>
      <c r="H55" s="47"/>
      <c r="I55" s="47"/>
    </row>
    <row r="56" spans="1:9" ht="15" customHeight="1">
      <c r="A56" s="41"/>
      <c r="B56" s="42"/>
      <c r="C56" s="43"/>
      <c r="D56" s="42"/>
      <c r="E56" s="44"/>
      <c r="F56" s="42"/>
      <c r="G56" s="44"/>
      <c r="H56" s="47"/>
      <c r="I56" s="47"/>
    </row>
    <row r="57" spans="1:9" ht="15" customHeight="1">
      <c r="A57" s="41"/>
      <c r="B57" s="42"/>
      <c r="C57" s="43"/>
      <c r="D57" s="42"/>
      <c r="E57" s="44"/>
      <c r="F57" s="42"/>
      <c r="G57" s="44"/>
      <c r="H57" s="47"/>
      <c r="I57" s="47"/>
    </row>
    <row r="58" spans="1:9" ht="15" customHeight="1">
      <c r="A58" s="41"/>
      <c r="B58" s="42"/>
      <c r="C58" s="43"/>
      <c r="D58" s="42"/>
      <c r="E58" s="44"/>
      <c r="F58" s="42"/>
      <c r="G58" s="44"/>
      <c r="H58" s="47"/>
      <c r="I58" s="47"/>
    </row>
    <row r="59" spans="1:9" ht="15" customHeight="1">
      <c r="A59" s="41"/>
      <c r="B59" s="42"/>
      <c r="C59" s="43"/>
      <c r="D59" s="42"/>
      <c r="E59" s="44"/>
      <c r="F59" s="42"/>
      <c r="G59" s="44"/>
      <c r="H59" s="47"/>
      <c r="I59" s="47"/>
    </row>
    <row r="60" spans="1:9" ht="15" customHeight="1">
      <c r="A60" s="41"/>
      <c r="B60" s="42"/>
      <c r="C60" s="43"/>
      <c r="D60" s="42"/>
      <c r="E60" s="44"/>
      <c r="F60" s="42"/>
      <c r="G60" s="44"/>
      <c r="H60" s="47"/>
      <c r="I60" s="47"/>
    </row>
    <row r="61" spans="1:9" ht="15" customHeight="1">
      <c r="A61" s="41"/>
      <c r="B61" s="42"/>
      <c r="C61" s="43"/>
      <c r="D61" s="42"/>
      <c r="E61" s="44"/>
      <c r="F61" s="42"/>
      <c r="G61" s="44"/>
      <c r="H61" s="47"/>
      <c r="I61" s="47"/>
    </row>
    <row r="62" spans="1:9" ht="15" customHeight="1">
      <c r="A62" s="41"/>
      <c r="B62" s="42"/>
      <c r="C62" s="43"/>
      <c r="D62" s="42"/>
      <c r="E62" s="44"/>
      <c r="F62" s="42"/>
      <c r="G62" s="44"/>
      <c r="H62" s="47"/>
      <c r="I62" s="47"/>
    </row>
    <row r="63" spans="1:9" ht="15" customHeight="1">
      <c r="A63" s="41"/>
      <c r="B63" s="42"/>
      <c r="C63" s="43"/>
      <c r="D63" s="42"/>
      <c r="E63" s="44"/>
      <c r="F63" s="42"/>
      <c r="G63" s="44"/>
      <c r="H63" s="47"/>
      <c r="I63" s="47"/>
    </row>
    <row r="64" spans="1:9" ht="15" customHeight="1">
      <c r="A64" s="41"/>
      <c r="B64" s="42"/>
      <c r="C64" s="43"/>
      <c r="D64" s="42"/>
      <c r="E64" s="44"/>
      <c r="F64" s="42"/>
      <c r="G64" s="44"/>
      <c r="H64" s="47"/>
      <c r="I64" s="47"/>
    </row>
    <row r="65" spans="1:9" ht="15" customHeight="1">
      <c r="A65" s="41"/>
      <c r="B65" s="42"/>
      <c r="C65" s="43"/>
      <c r="D65" s="42"/>
      <c r="E65" s="44"/>
      <c r="F65" s="42"/>
      <c r="G65" s="44"/>
      <c r="H65" s="47"/>
      <c r="I65" s="47"/>
    </row>
    <row r="66" spans="1:9" ht="15" customHeight="1">
      <c r="A66" s="41"/>
      <c r="B66" s="42"/>
      <c r="C66" s="43"/>
      <c r="D66" s="42"/>
      <c r="E66" s="44"/>
      <c r="F66" s="42"/>
      <c r="G66" s="44"/>
      <c r="H66" s="47"/>
      <c r="I66" s="47"/>
    </row>
    <row r="67" spans="1:9" ht="15" customHeight="1">
      <c r="A67" s="41"/>
      <c r="B67" s="42"/>
      <c r="C67" s="43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3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3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3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3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3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3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3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3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3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3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3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3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3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3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3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3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3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3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3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3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3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3"/>
      <c r="D89" s="42"/>
      <c r="E89" s="44"/>
      <c r="F89" s="42"/>
      <c r="G89" s="44"/>
      <c r="H89" s="47"/>
      <c r="I89" s="47"/>
    </row>
    <row r="90" spans="1:9" ht="15" customHeight="1">
      <c r="A90" s="41"/>
      <c r="B90" s="42"/>
      <c r="C90" s="43"/>
      <c r="D90" s="42"/>
      <c r="E90" s="44"/>
      <c r="F90" s="42"/>
      <c r="G90" s="44"/>
      <c r="H90" s="47"/>
      <c r="I90" s="47"/>
    </row>
    <row r="91" spans="1:9" ht="15" customHeight="1">
      <c r="A91" s="41"/>
      <c r="B91" s="42"/>
      <c r="C91" s="43"/>
      <c r="D91" s="42"/>
      <c r="E91" s="44"/>
      <c r="F91" s="42"/>
      <c r="G91" s="44"/>
      <c r="H91" s="47"/>
      <c r="I91" s="47"/>
    </row>
    <row r="92" spans="1:9" ht="15" customHeight="1">
      <c r="A92" s="41"/>
      <c r="B92" s="42"/>
      <c r="C92" s="43"/>
      <c r="D92" s="42"/>
      <c r="E92" s="44"/>
      <c r="F92" s="42"/>
      <c r="G92" s="44"/>
      <c r="H92" s="47"/>
      <c r="I92" s="47"/>
    </row>
    <row r="93" spans="1:9" ht="15" customHeight="1">
      <c r="A93" s="41"/>
      <c r="B93" s="42"/>
      <c r="C93" s="43"/>
      <c r="D93" s="42"/>
      <c r="E93" s="44"/>
      <c r="F93" s="42"/>
      <c r="G93" s="44"/>
      <c r="H93" s="47"/>
      <c r="I93" s="47"/>
    </row>
    <row r="94" spans="1:9" ht="15" customHeight="1">
      <c r="A94" s="41"/>
      <c r="B94" s="42"/>
      <c r="C94" s="43"/>
      <c r="D94" s="42"/>
      <c r="E94" s="44"/>
      <c r="F94" s="42"/>
      <c r="G94" s="44"/>
      <c r="H94" s="47"/>
      <c r="I94" s="47"/>
    </row>
    <row r="95" spans="1:9" ht="15" customHeight="1">
      <c r="A95" s="41"/>
      <c r="B95" s="42"/>
      <c r="C95" s="43"/>
      <c r="D95" s="42"/>
      <c r="E95" s="44"/>
      <c r="F95" s="42"/>
      <c r="G95" s="44"/>
      <c r="H95" s="47"/>
      <c r="I95" s="47"/>
    </row>
    <row r="96" spans="1:9" ht="15" customHeight="1">
      <c r="A96" s="41"/>
      <c r="B96" s="42"/>
      <c r="C96" s="43"/>
      <c r="D96" s="42"/>
      <c r="E96" s="44"/>
      <c r="F96" s="42"/>
      <c r="G96" s="44"/>
      <c r="H96" s="47"/>
      <c r="I96" s="47"/>
    </row>
  </sheetData>
  <sheetProtection/>
  <printOptions/>
  <pageMargins left="0.7" right="0.7" top="0.83" bottom="0.75" header="0.3" footer="0.3"/>
  <pageSetup horizontalDpi="600" verticalDpi="600" orientation="portrait" scale="85" r:id="rId1"/>
  <headerFooter>
    <oddHeader>&amp;RProduce Brokers Limited
1349/A, North Agrabad, D.T. Road Askarabad (1st floor)
Chattogram-4224
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31">
      <selection activeCell="D53" sqref="D53"/>
    </sheetView>
  </sheetViews>
  <sheetFormatPr defaultColWidth="9.140625" defaultRowHeight="15" customHeight="1"/>
  <cols>
    <col min="1" max="1" width="30.140625" style="7" customWidth="1"/>
    <col min="2" max="2" width="9.421875" style="31" bestFit="1" customWidth="1"/>
    <col min="3" max="3" width="9.421875" style="32" bestFit="1" customWidth="1"/>
    <col min="4" max="4" width="8.8515625" style="31" customWidth="1"/>
    <col min="5" max="5" width="9.421875" style="30" bestFit="1" customWidth="1"/>
    <col min="6" max="6" width="9.421875" style="31" bestFit="1" customWidth="1"/>
    <col min="7" max="7" width="10.421875" style="30" bestFit="1" customWidth="1"/>
    <col min="8" max="8" width="13.140625" style="48" bestFit="1" customWidth="1"/>
    <col min="9" max="9" width="8.8515625" style="48" customWidth="1"/>
    <col min="10" max="16384" width="8.8515625" style="7" customWidth="1"/>
  </cols>
  <sheetData>
    <row r="1" spans="1:10" ht="15" customHeight="1">
      <c r="A1" s="103" t="s">
        <v>197</v>
      </c>
      <c r="B1" s="104"/>
      <c r="C1" s="105"/>
      <c r="D1" s="104"/>
      <c r="E1" s="106"/>
      <c r="F1" s="104"/>
      <c r="G1" s="105"/>
      <c r="H1" s="107"/>
      <c r="I1" s="107"/>
      <c r="J1" s="1"/>
    </row>
    <row r="2" spans="1:10" ht="15" customHeight="1">
      <c r="A2" s="103" t="s">
        <v>198</v>
      </c>
      <c r="B2" s="104"/>
      <c r="C2" s="105"/>
      <c r="D2" s="104"/>
      <c r="E2" s="106"/>
      <c r="F2" s="104"/>
      <c r="G2" s="105"/>
      <c r="H2" s="107"/>
      <c r="I2" s="107"/>
      <c r="J2" s="1"/>
    </row>
    <row r="3" spans="1:10" ht="15" customHeight="1">
      <c r="A3" s="103" t="s">
        <v>110</v>
      </c>
      <c r="B3" s="104"/>
      <c r="C3" s="105"/>
      <c r="D3" s="104"/>
      <c r="E3" s="106"/>
      <c r="F3" s="104"/>
      <c r="G3" s="105"/>
      <c r="H3" s="107"/>
      <c r="I3" s="107"/>
      <c r="J3" s="1"/>
    </row>
    <row r="4" spans="1:10" ht="15" customHeight="1">
      <c r="A4" s="103" t="s">
        <v>5</v>
      </c>
      <c r="B4" s="104"/>
      <c r="C4" s="105"/>
      <c r="D4" s="104"/>
      <c r="E4" s="106"/>
      <c r="F4" s="104"/>
      <c r="G4" s="105"/>
      <c r="H4" s="107"/>
      <c r="I4" s="107"/>
      <c r="J4" s="1"/>
    </row>
    <row r="5" spans="1:10" ht="15" customHeight="1">
      <c r="A5" s="103" t="s">
        <v>6</v>
      </c>
      <c r="B5" s="104"/>
      <c r="C5" s="105"/>
      <c r="D5" s="104"/>
      <c r="E5" s="108"/>
      <c r="F5" s="104"/>
      <c r="G5" s="105"/>
      <c r="H5" s="107"/>
      <c r="I5" s="107"/>
      <c r="J5" s="1"/>
    </row>
    <row r="6" spans="1:10" ht="15" customHeight="1">
      <c r="A6" s="103" t="s">
        <v>111</v>
      </c>
      <c r="B6" s="104"/>
      <c r="C6" s="105"/>
      <c r="D6" s="104"/>
      <c r="E6" s="106"/>
      <c r="F6" s="104"/>
      <c r="G6" s="105"/>
      <c r="H6" s="107"/>
      <c r="I6" s="107"/>
      <c r="J6" s="1"/>
    </row>
    <row r="7" spans="1:10" ht="15" customHeight="1">
      <c r="A7" s="103" t="s">
        <v>112</v>
      </c>
      <c r="B7" s="104"/>
      <c r="C7" s="105"/>
      <c r="D7" s="104"/>
      <c r="E7" s="109" t="s">
        <v>113</v>
      </c>
      <c r="F7" s="104"/>
      <c r="G7" s="105"/>
      <c r="H7" s="107"/>
      <c r="I7" s="107"/>
      <c r="J7" s="1"/>
    </row>
    <row r="8" spans="1:10" ht="15" customHeight="1">
      <c r="A8" s="103" t="s">
        <v>199</v>
      </c>
      <c r="B8" s="110"/>
      <c r="C8" s="111"/>
      <c r="D8" s="110"/>
      <c r="E8" s="112"/>
      <c r="F8" s="110"/>
      <c r="G8" s="111"/>
      <c r="H8" s="113"/>
      <c r="I8" s="113"/>
      <c r="J8" s="1"/>
    </row>
    <row r="9" spans="1:10" ht="15" customHeight="1">
      <c r="A9" s="127"/>
      <c r="B9" s="129" t="s">
        <v>45</v>
      </c>
      <c r="C9" s="130"/>
      <c r="D9" s="129" t="s">
        <v>46</v>
      </c>
      <c r="E9" s="126"/>
      <c r="F9" s="129" t="s">
        <v>47</v>
      </c>
      <c r="G9" s="126"/>
      <c r="H9" s="131"/>
      <c r="I9" s="131"/>
      <c r="J9" s="1"/>
    </row>
    <row r="10" spans="1:10" ht="15" customHeight="1">
      <c r="A10" s="132" t="s">
        <v>48</v>
      </c>
      <c r="B10" s="129" t="s">
        <v>49</v>
      </c>
      <c r="C10" s="133" t="s">
        <v>50</v>
      </c>
      <c r="D10" s="129" t="s">
        <v>49</v>
      </c>
      <c r="E10" s="134" t="s">
        <v>50</v>
      </c>
      <c r="F10" s="129" t="s">
        <v>49</v>
      </c>
      <c r="G10" s="134" t="s">
        <v>50</v>
      </c>
      <c r="H10" s="135" t="s">
        <v>51</v>
      </c>
      <c r="I10" s="135" t="s">
        <v>52</v>
      </c>
      <c r="J10" s="1"/>
    </row>
    <row r="11" spans="1:10" ht="15" customHeight="1">
      <c r="A11" s="132" t="s">
        <v>53</v>
      </c>
      <c r="B11" s="136">
        <v>81</v>
      </c>
      <c r="C11" s="137">
        <v>4035</v>
      </c>
      <c r="D11" s="136">
        <v>0</v>
      </c>
      <c r="E11" s="134">
        <v>0</v>
      </c>
      <c r="F11" s="136">
        <v>81</v>
      </c>
      <c r="G11" s="134">
        <v>4035</v>
      </c>
      <c r="H11" s="135" t="s">
        <v>200</v>
      </c>
      <c r="I11" s="135">
        <v>214.6</v>
      </c>
      <c r="J11" s="1"/>
    </row>
    <row r="12" spans="1:10" ht="15" customHeight="1">
      <c r="A12" s="132" t="s">
        <v>168</v>
      </c>
      <c r="B12" s="136">
        <v>10</v>
      </c>
      <c r="C12" s="137">
        <v>498.5</v>
      </c>
      <c r="D12" s="136">
        <v>0</v>
      </c>
      <c r="E12" s="134">
        <v>0</v>
      </c>
      <c r="F12" s="136">
        <v>10</v>
      </c>
      <c r="G12" s="134">
        <v>498.5</v>
      </c>
      <c r="H12" s="135" t="s">
        <v>201</v>
      </c>
      <c r="I12" s="135">
        <v>248</v>
      </c>
      <c r="J12" s="1"/>
    </row>
    <row r="13" spans="1:10" ht="15" customHeight="1">
      <c r="A13" s="132" t="s">
        <v>128</v>
      </c>
      <c r="B13" s="136">
        <v>65</v>
      </c>
      <c r="C13" s="137">
        <v>3240</v>
      </c>
      <c r="D13" s="136">
        <v>65</v>
      </c>
      <c r="E13" s="134">
        <v>3243.9</v>
      </c>
      <c r="F13" s="136">
        <v>130</v>
      </c>
      <c r="G13" s="134">
        <v>6483.9</v>
      </c>
      <c r="H13" s="135" t="s">
        <v>202</v>
      </c>
      <c r="I13" s="135">
        <v>199.76</v>
      </c>
      <c r="J13" s="1"/>
    </row>
    <row r="14" spans="1:10" ht="15" customHeight="1">
      <c r="A14" s="132" t="s">
        <v>171</v>
      </c>
      <c r="B14" s="136">
        <v>10</v>
      </c>
      <c r="C14" s="137">
        <v>498.5</v>
      </c>
      <c r="D14" s="136">
        <v>0</v>
      </c>
      <c r="E14" s="134">
        <v>0</v>
      </c>
      <c r="F14" s="136">
        <v>10</v>
      </c>
      <c r="G14" s="134">
        <v>498.5</v>
      </c>
      <c r="H14" s="135" t="s">
        <v>203</v>
      </c>
      <c r="I14" s="135">
        <v>302</v>
      </c>
      <c r="J14" s="1"/>
    </row>
    <row r="15" spans="1:10" ht="15" customHeight="1">
      <c r="A15" s="132" t="s">
        <v>173</v>
      </c>
      <c r="B15" s="136">
        <v>2</v>
      </c>
      <c r="C15" s="137">
        <v>100</v>
      </c>
      <c r="D15" s="136">
        <v>20</v>
      </c>
      <c r="E15" s="134">
        <v>998.4</v>
      </c>
      <c r="F15" s="136">
        <v>22</v>
      </c>
      <c r="G15" s="134">
        <v>1098.4</v>
      </c>
      <c r="H15" s="135" t="s">
        <v>204</v>
      </c>
      <c r="I15" s="135">
        <v>161.39</v>
      </c>
      <c r="J15" s="1"/>
    </row>
    <row r="16" spans="1:10" ht="15" customHeight="1">
      <c r="A16" s="132" t="s">
        <v>205</v>
      </c>
      <c r="B16" s="136">
        <v>70</v>
      </c>
      <c r="C16" s="137">
        <v>3491</v>
      </c>
      <c r="D16" s="136">
        <v>0</v>
      </c>
      <c r="E16" s="134">
        <v>0</v>
      </c>
      <c r="F16" s="136">
        <v>70</v>
      </c>
      <c r="G16" s="134">
        <v>3491</v>
      </c>
      <c r="H16" s="135" t="s">
        <v>206</v>
      </c>
      <c r="I16" s="135">
        <v>147</v>
      </c>
      <c r="J16" s="1"/>
    </row>
    <row r="17" spans="1:10" ht="15" customHeight="1">
      <c r="A17" s="132" t="s">
        <v>174</v>
      </c>
      <c r="B17" s="136">
        <v>90</v>
      </c>
      <c r="C17" s="137">
        <v>4485</v>
      </c>
      <c r="D17" s="136">
        <v>0</v>
      </c>
      <c r="E17" s="134">
        <v>0</v>
      </c>
      <c r="F17" s="136">
        <v>90</v>
      </c>
      <c r="G17" s="134">
        <v>4485</v>
      </c>
      <c r="H17" s="135" t="s">
        <v>207</v>
      </c>
      <c r="I17" s="135">
        <v>233.53</v>
      </c>
      <c r="J17" s="1"/>
    </row>
    <row r="18" spans="1:10" ht="15" customHeight="1">
      <c r="A18" s="132" t="s">
        <v>208</v>
      </c>
      <c r="B18" s="136">
        <v>50</v>
      </c>
      <c r="C18" s="137">
        <v>2492.5</v>
      </c>
      <c r="D18" s="136">
        <v>10</v>
      </c>
      <c r="E18" s="134">
        <v>498.4</v>
      </c>
      <c r="F18" s="136">
        <v>60</v>
      </c>
      <c r="G18" s="134">
        <v>2990.9</v>
      </c>
      <c r="H18" s="135" t="s">
        <v>209</v>
      </c>
      <c r="I18" s="135">
        <v>189.16</v>
      </c>
      <c r="J18" s="1"/>
    </row>
    <row r="19" spans="1:10" ht="15" customHeight="1">
      <c r="A19" s="132" t="s">
        <v>176</v>
      </c>
      <c r="B19" s="127"/>
      <c r="C19" s="137">
        <v>0</v>
      </c>
      <c r="D19" s="136">
        <v>60</v>
      </c>
      <c r="E19" s="134">
        <v>2993.6</v>
      </c>
      <c r="F19" s="136">
        <v>60</v>
      </c>
      <c r="G19" s="134">
        <v>2993.6</v>
      </c>
      <c r="H19" s="135" t="s">
        <v>210</v>
      </c>
      <c r="I19" s="135">
        <v>202.36</v>
      </c>
      <c r="J19" s="1"/>
    </row>
    <row r="20" spans="1:10" ht="15" customHeight="1">
      <c r="A20" s="132" t="s">
        <v>61</v>
      </c>
      <c r="B20" s="136">
        <v>10</v>
      </c>
      <c r="C20" s="137">
        <v>497</v>
      </c>
      <c r="D20" s="136">
        <v>0</v>
      </c>
      <c r="E20" s="134">
        <v>0</v>
      </c>
      <c r="F20" s="136">
        <v>10</v>
      </c>
      <c r="G20" s="134">
        <v>497</v>
      </c>
      <c r="H20" s="135" t="s">
        <v>211</v>
      </c>
      <c r="I20" s="135">
        <v>317</v>
      </c>
      <c r="J20" s="1"/>
    </row>
    <row r="21" spans="1:10" ht="15" customHeight="1">
      <c r="A21" s="132" t="s">
        <v>63</v>
      </c>
      <c r="B21" s="136">
        <v>29</v>
      </c>
      <c r="C21" s="137">
        <v>1441</v>
      </c>
      <c r="D21" s="136">
        <v>0</v>
      </c>
      <c r="E21" s="134">
        <v>0</v>
      </c>
      <c r="F21" s="136">
        <v>29</v>
      </c>
      <c r="G21" s="134">
        <v>1441</v>
      </c>
      <c r="H21" s="135" t="s">
        <v>212</v>
      </c>
      <c r="I21" s="135">
        <v>326.03</v>
      </c>
      <c r="J21" s="1"/>
    </row>
    <row r="22" spans="1:10" ht="15" customHeight="1">
      <c r="A22" s="132" t="s">
        <v>136</v>
      </c>
      <c r="B22" s="136">
        <v>101</v>
      </c>
      <c r="C22" s="137">
        <v>5038</v>
      </c>
      <c r="D22" s="136">
        <v>0</v>
      </c>
      <c r="E22" s="134">
        <v>0</v>
      </c>
      <c r="F22" s="136">
        <v>101</v>
      </c>
      <c r="G22" s="134">
        <v>5038</v>
      </c>
      <c r="H22" s="135" t="s">
        <v>213</v>
      </c>
      <c r="I22" s="135">
        <v>168.73</v>
      </c>
      <c r="J22" s="1"/>
    </row>
    <row r="23" spans="1:10" ht="15" customHeight="1">
      <c r="A23" s="132" t="s">
        <v>67</v>
      </c>
      <c r="B23" s="136">
        <v>130</v>
      </c>
      <c r="C23" s="137">
        <v>6480.5</v>
      </c>
      <c r="D23" s="136">
        <v>50</v>
      </c>
      <c r="E23" s="134">
        <v>2495.8</v>
      </c>
      <c r="F23" s="136">
        <v>180</v>
      </c>
      <c r="G23" s="134">
        <v>8976.3</v>
      </c>
      <c r="H23" s="135" t="s">
        <v>214</v>
      </c>
      <c r="I23" s="135">
        <v>212.56</v>
      </c>
      <c r="J23" s="1"/>
    </row>
    <row r="24" spans="1:10" ht="15" customHeight="1">
      <c r="A24" s="132" t="s">
        <v>69</v>
      </c>
      <c r="B24" s="136">
        <v>71</v>
      </c>
      <c r="C24" s="137">
        <v>3536.5</v>
      </c>
      <c r="D24" s="136">
        <v>0</v>
      </c>
      <c r="E24" s="134">
        <v>0</v>
      </c>
      <c r="F24" s="136">
        <v>71</v>
      </c>
      <c r="G24" s="134">
        <v>3536.5</v>
      </c>
      <c r="H24" s="135" t="s">
        <v>215</v>
      </c>
      <c r="I24" s="135">
        <v>174.67</v>
      </c>
      <c r="J24" s="1"/>
    </row>
    <row r="25" spans="1:10" ht="15" customHeight="1">
      <c r="A25" s="132" t="s">
        <v>71</v>
      </c>
      <c r="B25" s="136">
        <v>805</v>
      </c>
      <c r="C25" s="137">
        <v>40128.5</v>
      </c>
      <c r="D25" s="136">
        <v>95</v>
      </c>
      <c r="E25" s="134">
        <v>4739.9</v>
      </c>
      <c r="F25" s="136">
        <v>900</v>
      </c>
      <c r="G25" s="134">
        <v>44868.4</v>
      </c>
      <c r="H25" s="135" t="s">
        <v>216</v>
      </c>
      <c r="I25" s="135">
        <v>209.56</v>
      </c>
      <c r="J25" s="1"/>
    </row>
    <row r="26" spans="1:10" ht="15" customHeight="1">
      <c r="A26" s="132" t="s">
        <v>141</v>
      </c>
      <c r="B26" s="136">
        <v>40</v>
      </c>
      <c r="C26" s="137">
        <v>1991</v>
      </c>
      <c r="D26" s="136">
        <v>25</v>
      </c>
      <c r="E26" s="134">
        <v>1246.8</v>
      </c>
      <c r="F26" s="136">
        <v>65</v>
      </c>
      <c r="G26" s="134">
        <v>3237.8</v>
      </c>
      <c r="H26" s="135" t="s">
        <v>217</v>
      </c>
      <c r="I26" s="135">
        <v>194.22</v>
      </c>
      <c r="J26" s="1"/>
    </row>
    <row r="27" spans="1:10" ht="15" customHeight="1">
      <c r="A27" s="132" t="s">
        <v>73</v>
      </c>
      <c r="B27" s="136">
        <v>81</v>
      </c>
      <c r="C27" s="137">
        <v>4038</v>
      </c>
      <c r="D27" s="136">
        <v>0</v>
      </c>
      <c r="E27" s="134">
        <v>0</v>
      </c>
      <c r="F27" s="136">
        <v>81</v>
      </c>
      <c r="G27" s="134">
        <v>4038</v>
      </c>
      <c r="H27" s="135" t="s">
        <v>218</v>
      </c>
      <c r="I27" s="135">
        <v>169.11</v>
      </c>
      <c r="J27" s="1"/>
    </row>
    <row r="28" spans="1:10" ht="15" customHeight="1">
      <c r="A28" s="132" t="s">
        <v>75</v>
      </c>
      <c r="B28" s="127"/>
      <c r="C28" s="137">
        <v>0</v>
      </c>
      <c r="D28" s="136">
        <v>20</v>
      </c>
      <c r="E28" s="134">
        <v>999</v>
      </c>
      <c r="F28" s="136">
        <v>20</v>
      </c>
      <c r="G28" s="134">
        <v>999</v>
      </c>
      <c r="H28" s="135" t="s">
        <v>219</v>
      </c>
      <c r="I28" s="135">
        <v>157.5</v>
      </c>
      <c r="J28" s="1"/>
    </row>
    <row r="29" spans="1:10" ht="15" customHeight="1">
      <c r="A29" s="132" t="s">
        <v>77</v>
      </c>
      <c r="B29" s="136">
        <v>120</v>
      </c>
      <c r="C29" s="137">
        <v>5979</v>
      </c>
      <c r="D29" s="136">
        <v>50</v>
      </c>
      <c r="E29" s="134">
        <v>2492.2</v>
      </c>
      <c r="F29" s="136">
        <v>170</v>
      </c>
      <c r="G29" s="134">
        <v>8471.2</v>
      </c>
      <c r="H29" s="135" t="s">
        <v>220</v>
      </c>
      <c r="I29" s="135">
        <v>160.42</v>
      </c>
      <c r="J29" s="1"/>
    </row>
    <row r="30" spans="1:10" ht="15" customHeight="1">
      <c r="A30" s="132" t="s">
        <v>221</v>
      </c>
      <c r="B30" s="136">
        <v>150</v>
      </c>
      <c r="C30" s="137">
        <v>7477.5</v>
      </c>
      <c r="D30" s="136">
        <v>40</v>
      </c>
      <c r="E30" s="134">
        <v>1996.8</v>
      </c>
      <c r="F30" s="136">
        <v>190</v>
      </c>
      <c r="G30" s="134">
        <v>9474.3</v>
      </c>
      <c r="H30" s="135" t="s">
        <v>222</v>
      </c>
      <c r="I30" s="135">
        <v>174.68</v>
      </c>
      <c r="J30" s="1"/>
    </row>
    <row r="31" spans="1:10" ht="15" customHeight="1">
      <c r="A31" s="132" t="s">
        <v>83</v>
      </c>
      <c r="B31" s="136">
        <v>140</v>
      </c>
      <c r="C31" s="137">
        <v>6979</v>
      </c>
      <c r="D31" s="136">
        <v>5</v>
      </c>
      <c r="E31" s="134">
        <v>249.2</v>
      </c>
      <c r="F31" s="136">
        <v>145</v>
      </c>
      <c r="G31" s="134">
        <v>7228.2</v>
      </c>
      <c r="H31" s="135" t="s">
        <v>223</v>
      </c>
      <c r="I31" s="135">
        <v>199.03</v>
      </c>
      <c r="J31" s="1"/>
    </row>
    <row r="32" spans="1:10" ht="15" customHeight="1">
      <c r="A32" s="132" t="s">
        <v>85</v>
      </c>
      <c r="B32" s="136">
        <v>51</v>
      </c>
      <c r="C32" s="137">
        <v>2542.5</v>
      </c>
      <c r="D32" s="136">
        <v>0</v>
      </c>
      <c r="E32" s="134">
        <v>0</v>
      </c>
      <c r="F32" s="136">
        <v>51</v>
      </c>
      <c r="G32" s="134">
        <v>2542.5</v>
      </c>
      <c r="H32" s="135" t="s">
        <v>224</v>
      </c>
      <c r="I32" s="135">
        <v>183.53</v>
      </c>
      <c r="J32" s="1"/>
    </row>
    <row r="33" spans="1:10" ht="15" customHeight="1">
      <c r="A33" s="132" t="s">
        <v>150</v>
      </c>
      <c r="B33" s="136">
        <v>95</v>
      </c>
      <c r="C33" s="137">
        <v>4732</v>
      </c>
      <c r="D33" s="136">
        <v>20</v>
      </c>
      <c r="E33" s="134">
        <v>997.6</v>
      </c>
      <c r="F33" s="136">
        <v>115</v>
      </c>
      <c r="G33" s="134">
        <v>5729.6</v>
      </c>
      <c r="H33" s="135" t="s">
        <v>225</v>
      </c>
      <c r="I33" s="135">
        <v>157.63</v>
      </c>
      <c r="J33" s="1"/>
    </row>
    <row r="34" spans="1:10" ht="15" customHeight="1">
      <c r="A34" s="132" t="s">
        <v>226</v>
      </c>
      <c r="B34" s="127"/>
      <c r="C34" s="137">
        <v>0</v>
      </c>
      <c r="D34" s="136">
        <v>25</v>
      </c>
      <c r="E34" s="134">
        <v>1247.9</v>
      </c>
      <c r="F34" s="136">
        <v>25</v>
      </c>
      <c r="G34" s="134">
        <v>1247.9</v>
      </c>
      <c r="H34" s="135" t="s">
        <v>227</v>
      </c>
      <c r="I34" s="135">
        <v>169.59</v>
      </c>
      <c r="J34" s="1"/>
    </row>
    <row r="35" spans="1:10" ht="15" customHeight="1">
      <c r="A35" s="132" t="s">
        <v>153</v>
      </c>
      <c r="B35" s="136">
        <v>20</v>
      </c>
      <c r="C35" s="137">
        <v>995.5</v>
      </c>
      <c r="D35" s="136">
        <v>0</v>
      </c>
      <c r="E35" s="134">
        <v>0</v>
      </c>
      <c r="F35" s="136">
        <v>20</v>
      </c>
      <c r="G35" s="134">
        <v>995.5</v>
      </c>
      <c r="H35" s="135" t="s">
        <v>228</v>
      </c>
      <c r="I35" s="135">
        <v>137.51</v>
      </c>
      <c r="J35" s="1"/>
    </row>
    <row r="36" spans="1:10" ht="15" customHeight="1">
      <c r="A36" s="132" t="s">
        <v>92</v>
      </c>
      <c r="B36" s="136">
        <v>10</v>
      </c>
      <c r="C36" s="137">
        <v>498.5</v>
      </c>
      <c r="D36" s="136">
        <v>0</v>
      </c>
      <c r="E36" s="134">
        <v>0</v>
      </c>
      <c r="F36" s="136">
        <v>10</v>
      </c>
      <c r="G36" s="134">
        <v>498.5</v>
      </c>
      <c r="H36" s="135">
        <v>64805</v>
      </c>
      <c r="I36" s="135">
        <v>130</v>
      </c>
      <c r="J36" s="1"/>
    </row>
    <row r="37" spans="1:10" ht="15" customHeight="1">
      <c r="A37" s="132" t="s">
        <v>229</v>
      </c>
      <c r="B37" s="136">
        <v>150</v>
      </c>
      <c r="C37" s="137">
        <v>7485</v>
      </c>
      <c r="D37" s="136">
        <v>0</v>
      </c>
      <c r="E37" s="134">
        <v>0</v>
      </c>
      <c r="F37" s="136">
        <v>150</v>
      </c>
      <c r="G37" s="134">
        <v>7485</v>
      </c>
      <c r="H37" s="135" t="s">
        <v>230</v>
      </c>
      <c r="I37" s="135">
        <v>135.91</v>
      </c>
      <c r="J37" s="1"/>
    </row>
    <row r="38" spans="1:10" ht="15" customHeight="1">
      <c r="A38" s="132" t="s">
        <v>187</v>
      </c>
      <c r="B38" s="136">
        <v>60</v>
      </c>
      <c r="C38" s="137">
        <v>2988</v>
      </c>
      <c r="D38" s="136">
        <v>0</v>
      </c>
      <c r="E38" s="134">
        <v>0</v>
      </c>
      <c r="F38" s="136">
        <v>60</v>
      </c>
      <c r="G38" s="134">
        <v>2988</v>
      </c>
      <c r="H38" s="135" t="s">
        <v>231</v>
      </c>
      <c r="I38" s="135">
        <v>146.52</v>
      </c>
      <c r="J38" s="1"/>
    </row>
    <row r="39" spans="1:10" ht="15" customHeight="1">
      <c r="A39" s="132" t="s">
        <v>157</v>
      </c>
      <c r="B39" s="136">
        <v>20</v>
      </c>
      <c r="C39" s="137">
        <v>995.5</v>
      </c>
      <c r="D39" s="136">
        <v>0</v>
      </c>
      <c r="E39" s="134">
        <v>0</v>
      </c>
      <c r="F39" s="136">
        <v>20</v>
      </c>
      <c r="G39" s="134">
        <v>995.5</v>
      </c>
      <c r="H39" s="135" t="s">
        <v>232</v>
      </c>
      <c r="I39" s="135">
        <v>259.89</v>
      </c>
      <c r="J39" s="1"/>
    </row>
    <row r="40" spans="1:10" ht="15" customHeight="1">
      <c r="A40" s="132" t="s">
        <v>233</v>
      </c>
      <c r="B40" s="136">
        <v>20</v>
      </c>
      <c r="C40" s="137">
        <v>997</v>
      </c>
      <c r="D40" s="136">
        <v>0</v>
      </c>
      <c r="E40" s="134">
        <v>0</v>
      </c>
      <c r="F40" s="136">
        <v>20</v>
      </c>
      <c r="G40" s="134">
        <v>997</v>
      </c>
      <c r="H40" s="135" t="s">
        <v>234</v>
      </c>
      <c r="I40" s="135">
        <v>230</v>
      </c>
      <c r="J40" s="1"/>
    </row>
    <row r="41" spans="1:10" ht="15" customHeight="1">
      <c r="A41" s="132" t="s">
        <v>94</v>
      </c>
      <c r="B41" s="136">
        <v>90</v>
      </c>
      <c r="C41" s="137">
        <v>4483.5</v>
      </c>
      <c r="D41" s="136">
        <v>80</v>
      </c>
      <c r="E41" s="134">
        <v>3992</v>
      </c>
      <c r="F41" s="136">
        <v>170</v>
      </c>
      <c r="G41" s="134">
        <v>8475.5</v>
      </c>
      <c r="H41" s="135" t="s">
        <v>235</v>
      </c>
      <c r="I41" s="135">
        <v>168.19</v>
      </c>
      <c r="J41" s="1"/>
    </row>
    <row r="42" spans="1:10" ht="15" customHeight="1">
      <c r="A42" s="132" t="s">
        <v>96</v>
      </c>
      <c r="B42" s="136">
        <v>11</v>
      </c>
      <c r="C42" s="137">
        <v>547</v>
      </c>
      <c r="D42" s="136">
        <v>0</v>
      </c>
      <c r="E42" s="134">
        <v>0</v>
      </c>
      <c r="F42" s="136">
        <v>11</v>
      </c>
      <c r="G42" s="134">
        <v>547</v>
      </c>
      <c r="H42" s="135" t="s">
        <v>236</v>
      </c>
      <c r="I42" s="135">
        <v>280</v>
      </c>
      <c r="J42" s="1"/>
    </row>
    <row r="43" spans="1:10" ht="15" customHeight="1">
      <c r="A43" s="132" t="s">
        <v>98</v>
      </c>
      <c r="B43" s="136">
        <v>10</v>
      </c>
      <c r="C43" s="137">
        <v>498.5</v>
      </c>
      <c r="D43" s="136">
        <v>0</v>
      </c>
      <c r="E43" s="134">
        <v>0</v>
      </c>
      <c r="F43" s="136">
        <v>10</v>
      </c>
      <c r="G43" s="134">
        <v>498.5</v>
      </c>
      <c r="H43" s="135">
        <v>64805</v>
      </c>
      <c r="I43" s="135">
        <v>130</v>
      </c>
      <c r="J43" s="1"/>
    </row>
    <row r="44" spans="1:10" ht="15" customHeight="1">
      <c r="A44" s="132" t="s">
        <v>237</v>
      </c>
      <c r="B44" s="136">
        <v>110</v>
      </c>
      <c r="C44" s="137">
        <v>5482</v>
      </c>
      <c r="D44" s="136">
        <v>0</v>
      </c>
      <c r="E44" s="134">
        <v>0</v>
      </c>
      <c r="F44" s="136">
        <v>110</v>
      </c>
      <c r="G44" s="134">
        <v>5482</v>
      </c>
      <c r="H44" s="135" t="s">
        <v>238</v>
      </c>
      <c r="I44" s="135">
        <v>177.64</v>
      </c>
      <c r="J44" s="1"/>
    </row>
    <row r="45" spans="1:10" ht="15" customHeight="1">
      <c r="A45" s="132" t="s">
        <v>99</v>
      </c>
      <c r="B45" s="136">
        <v>70</v>
      </c>
      <c r="C45" s="137">
        <v>3494</v>
      </c>
      <c r="D45" s="136">
        <v>10</v>
      </c>
      <c r="E45" s="134">
        <v>499.2</v>
      </c>
      <c r="F45" s="136">
        <v>80</v>
      </c>
      <c r="G45" s="134">
        <v>3993.2</v>
      </c>
      <c r="H45" s="135" t="s">
        <v>239</v>
      </c>
      <c r="I45" s="135">
        <v>157.5</v>
      </c>
      <c r="J45" s="1"/>
    </row>
    <row r="46" spans="1:10" ht="15" customHeight="1">
      <c r="A46" s="132" t="s">
        <v>14</v>
      </c>
      <c r="B46" s="152">
        <v>2772</v>
      </c>
      <c r="C46" s="137" t="s">
        <v>240</v>
      </c>
      <c r="D46" s="136">
        <v>575</v>
      </c>
      <c r="E46" s="134">
        <v>28690.7</v>
      </c>
      <c r="F46" s="152">
        <v>3347</v>
      </c>
      <c r="G46" s="134" t="s">
        <v>241</v>
      </c>
      <c r="H46" s="135" t="s">
        <v>242</v>
      </c>
      <c r="I46" s="135">
        <v>189.65</v>
      </c>
      <c r="J46" s="1"/>
    </row>
    <row r="47" spans="1:10" ht="15" customHeight="1">
      <c r="A47" s="1"/>
      <c r="C47" s="123"/>
      <c r="J47" s="1"/>
    </row>
    <row r="48" spans="1:10" ht="15" customHeight="1">
      <c r="A48" s="103" t="s">
        <v>117</v>
      </c>
      <c r="B48" s="124"/>
      <c r="C48" s="125"/>
      <c r="D48" s="124"/>
      <c r="E48" s="126"/>
      <c r="F48" s="124"/>
      <c r="G48" s="125"/>
      <c r="J48" s="1"/>
    </row>
    <row r="49" spans="1:10" ht="15" customHeight="1">
      <c r="A49" s="103" t="s">
        <v>118</v>
      </c>
      <c r="B49" s="124"/>
      <c r="C49" s="125"/>
      <c r="D49" s="124"/>
      <c r="E49" s="126"/>
      <c r="F49" s="124"/>
      <c r="G49" s="125" t="s">
        <v>119</v>
      </c>
      <c r="J49" s="1"/>
    </row>
    <row r="50" spans="1:10" ht="15" customHeight="1">
      <c r="A50" s="103" t="s">
        <v>120</v>
      </c>
      <c r="B50" s="124"/>
      <c r="C50" s="125"/>
      <c r="D50" s="124"/>
      <c r="E50" s="127"/>
      <c r="F50" s="127"/>
      <c r="G50" s="128" t="s">
        <v>121</v>
      </c>
      <c r="J50" s="1"/>
    </row>
    <row r="51" spans="1:10" ht="15" customHeight="1">
      <c r="A51" s="103" t="s">
        <v>122</v>
      </c>
      <c r="B51" s="124"/>
      <c r="C51" s="125"/>
      <c r="D51" s="124"/>
      <c r="E51" s="126"/>
      <c r="F51" s="124"/>
      <c r="G51" s="125"/>
      <c r="J51" s="1"/>
    </row>
    <row r="52" spans="1:10" ht="15" customHeight="1">
      <c r="A52" s="103" t="s">
        <v>123</v>
      </c>
      <c r="B52" s="124"/>
      <c r="C52" s="125"/>
      <c r="D52" s="124"/>
      <c r="E52" s="126"/>
      <c r="F52" s="124"/>
      <c r="G52" s="125"/>
      <c r="J52" s="1"/>
    </row>
    <row r="53" spans="1:10" ht="15" customHeight="1">
      <c r="A53" s="1"/>
      <c r="C53" s="123"/>
      <c r="J53" s="1"/>
    </row>
    <row r="54" spans="1:10" ht="15" customHeight="1">
      <c r="A54" s="1"/>
      <c r="C54" s="123"/>
      <c r="J54" s="1"/>
    </row>
    <row r="55" spans="1:10" ht="15" customHeight="1">
      <c r="A55" s="1"/>
      <c r="C55" s="123"/>
      <c r="J55" s="1"/>
    </row>
    <row r="56" spans="1:10" ht="15" customHeight="1">
      <c r="A56" s="1"/>
      <c r="C56" s="123"/>
      <c r="J56" s="1"/>
    </row>
    <row r="57" spans="1:10" ht="15" customHeight="1">
      <c r="A57" s="1"/>
      <c r="C57" s="123"/>
      <c r="J57" s="1"/>
    </row>
    <row r="58" spans="1:10" ht="15" customHeight="1">
      <c r="A58" s="1"/>
      <c r="C58" s="123"/>
      <c r="J58" s="1"/>
    </row>
    <row r="59" spans="1:10" ht="15" customHeight="1">
      <c r="A59" s="1"/>
      <c r="C59" s="123"/>
      <c r="J59" s="1"/>
    </row>
    <row r="60" spans="1:9" ht="15" customHeight="1">
      <c r="A60" s="41"/>
      <c r="B60" s="42"/>
      <c r="C60" s="43"/>
      <c r="D60" s="42"/>
      <c r="E60" s="44"/>
      <c r="F60" s="42"/>
      <c r="G60" s="44"/>
      <c r="H60" s="47"/>
      <c r="I60" s="47"/>
    </row>
    <row r="61" spans="1:9" ht="15" customHeight="1">
      <c r="A61" s="41"/>
      <c r="B61" s="42"/>
      <c r="C61" s="43"/>
      <c r="D61" s="42"/>
      <c r="E61" s="44"/>
      <c r="F61" s="42"/>
      <c r="G61" s="44"/>
      <c r="H61" s="47"/>
      <c r="I61" s="47"/>
    </row>
    <row r="62" spans="1:9" ht="15" customHeight="1">
      <c r="A62" s="41"/>
      <c r="B62" s="42"/>
      <c r="C62" s="43"/>
      <c r="D62" s="42"/>
      <c r="E62" s="44"/>
      <c r="F62" s="42"/>
      <c r="G62" s="44"/>
      <c r="H62" s="47"/>
      <c r="I62" s="47"/>
    </row>
    <row r="63" spans="1:9" ht="15" customHeight="1">
      <c r="A63" s="41"/>
      <c r="B63" s="42"/>
      <c r="C63" s="43"/>
      <c r="D63" s="42"/>
      <c r="E63" s="44"/>
      <c r="F63" s="42"/>
      <c r="G63" s="44"/>
      <c r="H63" s="47"/>
      <c r="I63" s="47"/>
    </row>
    <row r="64" spans="1:9" ht="15" customHeight="1">
      <c r="A64" s="41"/>
      <c r="B64" s="42"/>
      <c r="C64" s="43"/>
      <c r="D64" s="42"/>
      <c r="E64" s="44"/>
      <c r="F64" s="42"/>
      <c r="G64" s="44"/>
      <c r="H64" s="47"/>
      <c r="I64" s="47"/>
    </row>
    <row r="65" spans="1:9" ht="15" customHeight="1">
      <c r="A65" s="41"/>
      <c r="B65" s="42"/>
      <c r="C65" s="43"/>
      <c r="D65" s="42"/>
      <c r="E65" s="44"/>
      <c r="F65" s="42"/>
      <c r="G65" s="44"/>
      <c r="H65" s="47"/>
      <c r="I65" s="47"/>
    </row>
    <row r="66" spans="1:9" ht="15" customHeight="1">
      <c r="A66" s="41"/>
      <c r="B66" s="42"/>
      <c r="C66" s="43"/>
      <c r="D66" s="42"/>
      <c r="E66" s="44"/>
      <c r="F66" s="42"/>
      <c r="G66" s="44"/>
      <c r="H66" s="47"/>
      <c r="I66" s="47"/>
    </row>
    <row r="67" spans="1:9" ht="15" customHeight="1">
      <c r="A67" s="41"/>
      <c r="B67" s="42"/>
      <c r="C67" s="43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3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3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3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3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3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3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3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3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3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3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3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3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3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3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3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3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3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3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3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3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3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3"/>
      <c r="D89" s="42"/>
      <c r="E89" s="44"/>
      <c r="F89" s="42"/>
      <c r="G89" s="44"/>
      <c r="H89" s="47"/>
      <c r="I89" s="47"/>
    </row>
    <row r="90" spans="1:9" ht="15" customHeight="1">
      <c r="A90" s="41"/>
      <c r="B90" s="42"/>
      <c r="C90" s="43"/>
      <c r="D90" s="42"/>
      <c r="E90" s="44"/>
      <c r="F90" s="42"/>
      <c r="G90" s="44"/>
      <c r="H90" s="47"/>
      <c r="I90" s="47"/>
    </row>
    <row r="91" spans="1:9" ht="15" customHeight="1">
      <c r="A91" s="41"/>
      <c r="B91" s="42"/>
      <c r="C91" s="43"/>
      <c r="D91" s="42"/>
      <c r="E91" s="44"/>
      <c r="F91" s="42"/>
      <c r="G91" s="44"/>
      <c r="H91" s="47"/>
      <c r="I91" s="47"/>
    </row>
    <row r="92" spans="1:9" ht="15" customHeight="1">
      <c r="A92" s="41"/>
      <c r="B92" s="42"/>
      <c r="C92" s="43"/>
      <c r="D92" s="42"/>
      <c r="E92" s="44"/>
      <c r="F92" s="42"/>
      <c r="G92" s="44"/>
      <c r="H92" s="47"/>
      <c r="I92" s="47"/>
    </row>
    <row r="93" spans="1:9" ht="15" customHeight="1">
      <c r="A93" s="41"/>
      <c r="B93" s="42"/>
      <c r="C93" s="43"/>
      <c r="D93" s="42"/>
      <c r="E93" s="44"/>
      <c r="F93" s="42"/>
      <c r="G93" s="44"/>
      <c r="H93" s="47"/>
      <c r="I93" s="47"/>
    </row>
    <row r="94" spans="1:9" ht="15" customHeight="1">
      <c r="A94" s="41"/>
      <c r="B94" s="42"/>
      <c r="C94" s="43"/>
      <c r="D94" s="42"/>
      <c r="E94" s="44"/>
      <c r="F94" s="42"/>
      <c r="G94" s="44"/>
      <c r="H94" s="47"/>
      <c r="I94" s="47"/>
    </row>
    <row r="95" spans="1:9" ht="15" customHeight="1">
      <c r="A95" s="41"/>
      <c r="B95" s="42"/>
      <c r="C95" s="43"/>
      <c r="D95" s="42"/>
      <c r="E95" s="44"/>
      <c r="F95" s="42"/>
      <c r="G95" s="44"/>
      <c r="H95" s="47"/>
      <c r="I95" s="47"/>
    </row>
    <row r="96" spans="1:9" ht="15" customHeight="1">
      <c r="A96" s="41"/>
      <c r="B96" s="42"/>
      <c r="C96" s="43"/>
      <c r="D96" s="42"/>
      <c r="E96" s="44"/>
      <c r="F96" s="42"/>
      <c r="G96" s="44"/>
      <c r="H96" s="47"/>
      <c r="I96" s="47"/>
    </row>
    <row r="97" spans="1:9" ht="15" customHeight="1">
      <c r="A97" s="41"/>
      <c r="B97" s="42"/>
      <c r="C97" s="43"/>
      <c r="D97" s="42"/>
      <c r="E97" s="44"/>
      <c r="F97" s="42"/>
      <c r="G97" s="44"/>
      <c r="H97" s="47"/>
      <c r="I97" s="47"/>
    </row>
    <row r="98" spans="1:9" ht="15" customHeight="1">
      <c r="A98" s="41"/>
      <c r="B98" s="42"/>
      <c r="C98" s="43"/>
      <c r="D98" s="42"/>
      <c r="E98" s="44"/>
      <c r="F98" s="42"/>
      <c r="G98" s="44"/>
      <c r="H98" s="47"/>
      <c r="I98" s="47"/>
    </row>
    <row r="99" spans="1:9" ht="15" customHeight="1">
      <c r="A99" s="41"/>
      <c r="B99" s="42"/>
      <c r="C99" s="43"/>
      <c r="D99" s="42"/>
      <c r="E99" s="44"/>
      <c r="F99" s="42"/>
      <c r="G99" s="44"/>
      <c r="H99" s="47"/>
      <c r="I99" s="47"/>
    </row>
    <row r="100" spans="1:9" ht="15" customHeight="1">
      <c r="A100" s="41"/>
      <c r="B100" s="42"/>
      <c r="C100" s="43"/>
      <c r="D100" s="42"/>
      <c r="E100" s="44"/>
      <c r="F100" s="42"/>
      <c r="G100" s="44"/>
      <c r="H100" s="47"/>
      <c r="I100" s="47"/>
    </row>
    <row r="101" spans="1:9" ht="15" customHeight="1">
      <c r="A101" s="41"/>
      <c r="B101" s="42"/>
      <c r="C101" s="43"/>
      <c r="D101" s="42"/>
      <c r="E101" s="44"/>
      <c r="F101" s="42"/>
      <c r="G101" s="44"/>
      <c r="H101" s="47"/>
      <c r="I101" s="47"/>
    </row>
  </sheetData>
  <sheetProtection/>
  <printOptions/>
  <pageMargins left="0.7" right="0.7" top="0.83" bottom="0.7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0.140625" style="7" customWidth="1"/>
    <col min="2" max="2" width="9.421875" style="31" bestFit="1" customWidth="1"/>
    <col min="3" max="3" width="9.421875" style="32" bestFit="1" customWidth="1"/>
    <col min="4" max="4" width="8.8515625" style="31" customWidth="1"/>
    <col min="5" max="5" width="9.421875" style="30" bestFit="1" customWidth="1"/>
    <col min="6" max="6" width="9.421875" style="31" bestFit="1" customWidth="1"/>
    <col min="7" max="7" width="10.421875" style="30" bestFit="1" customWidth="1"/>
    <col min="8" max="8" width="13.140625" style="48" bestFit="1" customWidth="1"/>
    <col min="9" max="9" width="8.8515625" style="48" customWidth="1"/>
    <col min="10" max="16384" width="8.8515625" style="7" customWidth="1"/>
  </cols>
  <sheetData>
    <row r="1" spans="1:10" ht="15" customHeight="1">
      <c r="A1" s="103" t="s">
        <v>165</v>
      </c>
      <c r="B1" s="104"/>
      <c r="C1" s="105"/>
      <c r="D1" s="104"/>
      <c r="E1" s="106"/>
      <c r="F1" s="104"/>
      <c r="G1" s="105"/>
      <c r="H1" s="107"/>
      <c r="I1" s="107"/>
      <c r="J1" s="1"/>
    </row>
    <row r="2" spans="1:10" ht="15" customHeight="1">
      <c r="A2" s="103" t="s">
        <v>166</v>
      </c>
      <c r="B2" s="104"/>
      <c r="C2" s="105"/>
      <c r="D2" s="104"/>
      <c r="E2" s="106"/>
      <c r="F2" s="104"/>
      <c r="G2" s="105"/>
      <c r="H2" s="107"/>
      <c r="I2" s="107"/>
      <c r="J2" s="1"/>
    </row>
    <row r="3" spans="1:10" ht="15" customHeight="1">
      <c r="A3" s="103" t="s">
        <v>110</v>
      </c>
      <c r="B3" s="104"/>
      <c r="C3" s="105"/>
      <c r="D3" s="104"/>
      <c r="E3" s="106"/>
      <c r="F3" s="104"/>
      <c r="G3" s="105"/>
      <c r="H3" s="107"/>
      <c r="I3" s="107"/>
      <c r="J3" s="1"/>
    </row>
    <row r="4" spans="1:10" ht="15" customHeight="1">
      <c r="A4" s="103" t="s">
        <v>5</v>
      </c>
      <c r="B4" s="104"/>
      <c r="C4" s="105"/>
      <c r="D4" s="104"/>
      <c r="E4" s="106"/>
      <c r="F4" s="104"/>
      <c r="G4" s="105"/>
      <c r="H4" s="107"/>
      <c r="I4" s="107"/>
      <c r="J4" s="1"/>
    </row>
    <row r="5" spans="1:10" ht="15" customHeight="1">
      <c r="A5" s="103" t="s">
        <v>6</v>
      </c>
      <c r="B5" s="104"/>
      <c r="C5" s="105"/>
      <c r="D5" s="104"/>
      <c r="E5" s="108"/>
      <c r="F5" s="104"/>
      <c r="G5" s="105"/>
      <c r="H5" s="107"/>
      <c r="I5" s="107"/>
      <c r="J5" s="1"/>
    </row>
    <row r="6" spans="1:10" ht="15" customHeight="1">
      <c r="A6" s="103" t="s">
        <v>111</v>
      </c>
      <c r="B6" s="104"/>
      <c r="C6" s="105"/>
      <c r="D6" s="104"/>
      <c r="E6" s="106"/>
      <c r="F6" s="104"/>
      <c r="G6" s="105"/>
      <c r="H6" s="107"/>
      <c r="I6" s="107"/>
      <c r="J6" s="1"/>
    </row>
    <row r="7" spans="1:10" ht="15" customHeight="1">
      <c r="A7" s="103" t="s">
        <v>112</v>
      </c>
      <c r="B7" s="104"/>
      <c r="C7" s="105"/>
      <c r="D7" s="104"/>
      <c r="E7" s="109" t="s">
        <v>113</v>
      </c>
      <c r="F7" s="104"/>
      <c r="G7" s="105"/>
      <c r="H7" s="107"/>
      <c r="I7" s="107"/>
      <c r="J7" s="1"/>
    </row>
    <row r="8" spans="1:10" ht="15" customHeight="1">
      <c r="A8" s="103" t="s">
        <v>167</v>
      </c>
      <c r="B8" s="110"/>
      <c r="C8" s="111"/>
      <c r="D8" s="110"/>
      <c r="E8" s="112"/>
      <c r="F8" s="110"/>
      <c r="G8" s="111"/>
      <c r="H8" s="113"/>
      <c r="I8" s="113"/>
      <c r="J8" s="1"/>
    </row>
    <row r="9" spans="1:10" ht="15" customHeight="1">
      <c r="A9" s="127"/>
      <c r="B9" s="129" t="s">
        <v>45</v>
      </c>
      <c r="C9" s="130"/>
      <c r="D9" s="129" t="s">
        <v>46</v>
      </c>
      <c r="E9" s="126"/>
      <c r="F9" s="129" t="s">
        <v>47</v>
      </c>
      <c r="G9" s="126"/>
      <c r="H9" s="131"/>
      <c r="I9" s="131"/>
      <c r="J9" s="1"/>
    </row>
    <row r="10" spans="1:10" ht="15" customHeight="1">
      <c r="A10" s="132" t="s">
        <v>48</v>
      </c>
      <c r="B10" s="129" t="s">
        <v>49</v>
      </c>
      <c r="C10" s="133" t="s">
        <v>50</v>
      </c>
      <c r="D10" s="129" t="s">
        <v>49</v>
      </c>
      <c r="E10" s="134" t="s">
        <v>50</v>
      </c>
      <c r="F10" s="129" t="s">
        <v>49</v>
      </c>
      <c r="G10" s="134" t="s">
        <v>50</v>
      </c>
      <c r="H10" s="135" t="s">
        <v>51</v>
      </c>
      <c r="I10" s="135" t="s">
        <v>52</v>
      </c>
      <c r="J10" s="1"/>
    </row>
    <row r="11" spans="1:10" ht="15" customHeight="1">
      <c r="A11" s="132" t="s">
        <v>168</v>
      </c>
      <c r="B11" s="136">
        <v>11</v>
      </c>
      <c r="C11" s="137">
        <v>548.5</v>
      </c>
      <c r="D11" s="136">
        <v>0</v>
      </c>
      <c r="E11" s="134">
        <v>0</v>
      </c>
      <c r="F11" s="136">
        <v>11</v>
      </c>
      <c r="G11" s="134">
        <v>548.5</v>
      </c>
      <c r="H11" s="135" t="s">
        <v>169</v>
      </c>
      <c r="I11" s="135">
        <v>293</v>
      </c>
      <c r="J11" s="1"/>
    </row>
    <row r="12" spans="1:10" ht="15" customHeight="1">
      <c r="A12" s="132" t="s">
        <v>128</v>
      </c>
      <c r="B12" s="136">
        <v>51</v>
      </c>
      <c r="C12" s="137">
        <v>2542.5</v>
      </c>
      <c r="D12" s="136">
        <v>19</v>
      </c>
      <c r="E12" s="134">
        <v>948.5</v>
      </c>
      <c r="F12" s="136">
        <v>70</v>
      </c>
      <c r="G12" s="134">
        <v>3491</v>
      </c>
      <c r="H12" s="135" t="s">
        <v>170</v>
      </c>
      <c r="I12" s="135">
        <v>220.72</v>
      </c>
      <c r="J12" s="1"/>
    </row>
    <row r="13" spans="1:10" ht="15" customHeight="1">
      <c r="A13" s="132" t="s">
        <v>171</v>
      </c>
      <c r="B13" s="136">
        <v>10</v>
      </c>
      <c r="C13" s="137">
        <v>498.5</v>
      </c>
      <c r="D13" s="136">
        <v>0</v>
      </c>
      <c r="E13" s="134">
        <v>0</v>
      </c>
      <c r="F13" s="136">
        <v>10</v>
      </c>
      <c r="G13" s="134">
        <v>498.5</v>
      </c>
      <c r="H13" s="135" t="s">
        <v>172</v>
      </c>
      <c r="I13" s="135">
        <v>310</v>
      </c>
      <c r="J13" s="1"/>
    </row>
    <row r="14" spans="1:10" ht="15" customHeight="1">
      <c r="A14" s="132" t="s">
        <v>173</v>
      </c>
      <c r="B14" s="136">
        <v>5</v>
      </c>
      <c r="C14" s="137">
        <v>248.5</v>
      </c>
      <c r="D14" s="136">
        <v>0</v>
      </c>
      <c r="E14" s="134">
        <v>0</v>
      </c>
      <c r="F14" s="136">
        <v>5</v>
      </c>
      <c r="G14" s="134">
        <v>248.5</v>
      </c>
      <c r="H14" s="135">
        <v>78277.5</v>
      </c>
      <c r="I14" s="135">
        <v>315</v>
      </c>
      <c r="J14" s="1"/>
    </row>
    <row r="15" spans="1:10" ht="15" customHeight="1">
      <c r="A15" s="132" t="s">
        <v>174</v>
      </c>
      <c r="B15" s="136">
        <v>10</v>
      </c>
      <c r="C15" s="137">
        <v>498.5</v>
      </c>
      <c r="D15" s="136">
        <v>10</v>
      </c>
      <c r="E15" s="134">
        <v>499.2</v>
      </c>
      <c r="F15" s="136">
        <v>20</v>
      </c>
      <c r="G15" s="134">
        <v>997.7</v>
      </c>
      <c r="H15" s="135" t="s">
        <v>175</v>
      </c>
      <c r="I15" s="135">
        <v>293.46</v>
      </c>
      <c r="J15" s="1"/>
    </row>
    <row r="16" spans="1:10" ht="15" customHeight="1">
      <c r="A16" s="132" t="s">
        <v>176</v>
      </c>
      <c r="B16" s="127"/>
      <c r="C16" s="137">
        <v>0</v>
      </c>
      <c r="D16" s="136">
        <v>30</v>
      </c>
      <c r="E16" s="134">
        <v>1497.6</v>
      </c>
      <c r="F16" s="136">
        <v>30</v>
      </c>
      <c r="G16" s="134">
        <v>1497.6</v>
      </c>
      <c r="H16" s="135" t="s">
        <v>177</v>
      </c>
      <c r="I16" s="135">
        <v>232.33</v>
      </c>
      <c r="J16" s="1"/>
    </row>
    <row r="17" spans="1:10" ht="15" customHeight="1">
      <c r="A17" s="132" t="s">
        <v>63</v>
      </c>
      <c r="B17" s="136">
        <v>15</v>
      </c>
      <c r="C17" s="137">
        <v>748.5</v>
      </c>
      <c r="D17" s="136">
        <v>0</v>
      </c>
      <c r="E17" s="134">
        <v>0</v>
      </c>
      <c r="F17" s="136">
        <v>15</v>
      </c>
      <c r="G17" s="134">
        <v>748.5</v>
      </c>
      <c r="H17" s="135">
        <v>233285</v>
      </c>
      <c r="I17" s="135">
        <v>311.67000668002675</v>
      </c>
      <c r="J17" s="1"/>
    </row>
    <row r="18" spans="1:10" ht="15" customHeight="1">
      <c r="A18" s="132" t="s">
        <v>136</v>
      </c>
      <c r="B18" s="136">
        <v>30</v>
      </c>
      <c r="C18" s="137">
        <v>1495.5</v>
      </c>
      <c r="D18" s="136">
        <v>0</v>
      </c>
      <c r="E18" s="134">
        <v>0</v>
      </c>
      <c r="F18" s="136">
        <v>30</v>
      </c>
      <c r="G18" s="134">
        <v>1495.5</v>
      </c>
      <c r="H18" s="135" t="s">
        <v>178</v>
      </c>
      <c r="I18" s="135">
        <v>248.33</v>
      </c>
      <c r="J18" s="1"/>
    </row>
    <row r="19" spans="1:10" ht="15" customHeight="1">
      <c r="A19" s="132" t="s">
        <v>67</v>
      </c>
      <c r="B19" s="136">
        <v>40</v>
      </c>
      <c r="C19" s="137">
        <v>1994</v>
      </c>
      <c r="D19" s="136">
        <v>10</v>
      </c>
      <c r="E19" s="134">
        <v>499.2</v>
      </c>
      <c r="F19" s="136">
        <v>50</v>
      </c>
      <c r="G19" s="134">
        <v>2493.2</v>
      </c>
      <c r="H19" s="135" t="s">
        <v>179</v>
      </c>
      <c r="I19" s="135">
        <v>217.4</v>
      </c>
      <c r="J19" s="1"/>
    </row>
    <row r="20" spans="1:10" ht="15" customHeight="1">
      <c r="A20" s="132" t="s">
        <v>71</v>
      </c>
      <c r="B20" s="136">
        <v>45</v>
      </c>
      <c r="C20" s="137">
        <v>2244</v>
      </c>
      <c r="D20" s="136">
        <v>22</v>
      </c>
      <c r="E20" s="134">
        <v>1096.8</v>
      </c>
      <c r="F20" s="136">
        <v>67</v>
      </c>
      <c r="G20" s="134">
        <v>3340.8</v>
      </c>
      <c r="H20" s="135" t="s">
        <v>180</v>
      </c>
      <c r="I20" s="135">
        <v>232.38</v>
      </c>
      <c r="J20" s="1"/>
    </row>
    <row r="21" spans="1:10" ht="15" customHeight="1">
      <c r="A21" s="132" t="s">
        <v>141</v>
      </c>
      <c r="B21" s="136">
        <v>10</v>
      </c>
      <c r="C21" s="137">
        <v>498.5</v>
      </c>
      <c r="D21" s="136">
        <v>0</v>
      </c>
      <c r="E21" s="134">
        <v>0</v>
      </c>
      <c r="F21" s="136">
        <v>10</v>
      </c>
      <c r="G21" s="134">
        <v>498.5</v>
      </c>
      <c r="H21" s="135" t="s">
        <v>181</v>
      </c>
      <c r="I21" s="135">
        <v>303</v>
      </c>
      <c r="J21" s="1"/>
    </row>
    <row r="22" spans="1:10" ht="15" customHeight="1">
      <c r="A22" s="132" t="s">
        <v>77</v>
      </c>
      <c r="B22" s="127"/>
      <c r="C22" s="137">
        <v>0</v>
      </c>
      <c r="D22" s="136">
        <v>34</v>
      </c>
      <c r="E22" s="134">
        <v>1695.4</v>
      </c>
      <c r="F22" s="136">
        <v>34</v>
      </c>
      <c r="G22" s="134">
        <v>1695.4</v>
      </c>
      <c r="H22" s="135" t="s">
        <v>182</v>
      </c>
      <c r="I22" s="135">
        <v>261.08</v>
      </c>
      <c r="J22" s="1"/>
    </row>
    <row r="23" spans="1:10" ht="15" customHeight="1">
      <c r="A23" s="132" t="s">
        <v>81</v>
      </c>
      <c r="B23" s="136">
        <v>20</v>
      </c>
      <c r="C23" s="137">
        <v>997</v>
      </c>
      <c r="D23" s="136">
        <v>0</v>
      </c>
      <c r="E23" s="134">
        <v>0</v>
      </c>
      <c r="F23" s="136">
        <v>20</v>
      </c>
      <c r="G23" s="134">
        <v>997</v>
      </c>
      <c r="H23" s="135" t="s">
        <v>183</v>
      </c>
      <c r="I23" s="135">
        <v>261.5</v>
      </c>
      <c r="J23" s="1"/>
    </row>
    <row r="24" spans="1:10" ht="15" customHeight="1">
      <c r="A24" s="132" t="s">
        <v>83</v>
      </c>
      <c r="B24" s="136">
        <v>60</v>
      </c>
      <c r="C24" s="137">
        <v>2992.5</v>
      </c>
      <c r="D24" s="136">
        <v>17</v>
      </c>
      <c r="E24" s="134">
        <v>848.4</v>
      </c>
      <c r="F24" s="136">
        <v>77</v>
      </c>
      <c r="G24" s="134">
        <v>3840.9</v>
      </c>
      <c r="H24" s="135" t="s">
        <v>184</v>
      </c>
      <c r="I24" s="135">
        <v>203.83</v>
      </c>
      <c r="J24" s="1"/>
    </row>
    <row r="25" spans="1:10" ht="15" customHeight="1">
      <c r="A25" s="132" t="s">
        <v>150</v>
      </c>
      <c r="B25" s="127"/>
      <c r="C25" s="137">
        <v>0</v>
      </c>
      <c r="D25" s="136">
        <v>5</v>
      </c>
      <c r="E25" s="134">
        <v>249.5</v>
      </c>
      <c r="F25" s="136">
        <v>5</v>
      </c>
      <c r="G25" s="134">
        <v>249.5</v>
      </c>
      <c r="H25" s="135">
        <v>36177.5</v>
      </c>
      <c r="I25" s="135">
        <v>145</v>
      </c>
      <c r="J25" s="1"/>
    </row>
    <row r="26" spans="1:10" ht="15" customHeight="1">
      <c r="A26" s="132" t="s">
        <v>185</v>
      </c>
      <c r="B26" s="136">
        <v>20</v>
      </c>
      <c r="C26" s="137">
        <v>997</v>
      </c>
      <c r="D26" s="136">
        <v>0</v>
      </c>
      <c r="E26" s="134">
        <v>0</v>
      </c>
      <c r="F26" s="136">
        <v>20</v>
      </c>
      <c r="G26" s="134">
        <v>997</v>
      </c>
      <c r="H26" s="135" t="s">
        <v>186</v>
      </c>
      <c r="I26" s="135">
        <v>328</v>
      </c>
      <c r="J26" s="1"/>
    </row>
    <row r="27" spans="1:10" ht="15" customHeight="1">
      <c r="A27" s="132" t="s">
        <v>187</v>
      </c>
      <c r="B27" s="136">
        <v>20</v>
      </c>
      <c r="C27" s="137">
        <v>997</v>
      </c>
      <c r="D27" s="136">
        <v>0</v>
      </c>
      <c r="E27" s="134">
        <v>0</v>
      </c>
      <c r="F27" s="136">
        <v>20</v>
      </c>
      <c r="G27" s="134">
        <v>997</v>
      </c>
      <c r="H27" s="135" t="s">
        <v>188</v>
      </c>
      <c r="I27" s="135">
        <v>133.5</v>
      </c>
      <c r="J27" s="1"/>
    </row>
    <row r="28" spans="1:10" ht="15" customHeight="1">
      <c r="A28" s="132" t="s">
        <v>94</v>
      </c>
      <c r="B28" s="136">
        <v>30</v>
      </c>
      <c r="C28" s="137">
        <v>1495.5</v>
      </c>
      <c r="D28" s="136">
        <v>55</v>
      </c>
      <c r="E28" s="134">
        <v>2745.5</v>
      </c>
      <c r="F28" s="136">
        <v>85</v>
      </c>
      <c r="G28" s="134">
        <v>4241</v>
      </c>
      <c r="H28" s="135" t="s">
        <v>189</v>
      </c>
      <c r="I28" s="135">
        <v>226.3</v>
      </c>
      <c r="J28" s="1"/>
    </row>
    <row r="29" spans="1:10" ht="15" customHeight="1">
      <c r="A29" s="132" t="s">
        <v>190</v>
      </c>
      <c r="B29" s="136">
        <v>10</v>
      </c>
      <c r="C29" s="137">
        <v>498.5</v>
      </c>
      <c r="D29" s="136">
        <v>0</v>
      </c>
      <c r="E29" s="134">
        <v>0</v>
      </c>
      <c r="F29" s="136">
        <v>10</v>
      </c>
      <c r="G29" s="134">
        <v>498.5</v>
      </c>
      <c r="H29" s="135">
        <v>68294.5</v>
      </c>
      <c r="I29" s="135">
        <v>137</v>
      </c>
      <c r="J29" s="1"/>
    </row>
    <row r="30" spans="1:10" ht="15" customHeight="1">
      <c r="A30" s="132" t="s">
        <v>96</v>
      </c>
      <c r="B30" s="136">
        <v>11</v>
      </c>
      <c r="C30" s="137">
        <v>548.5</v>
      </c>
      <c r="D30" s="136">
        <v>0</v>
      </c>
      <c r="E30" s="134">
        <v>0</v>
      </c>
      <c r="F30" s="136">
        <v>11</v>
      </c>
      <c r="G30" s="134">
        <v>548.5</v>
      </c>
      <c r="H30" s="135" t="s">
        <v>191</v>
      </c>
      <c r="I30" s="135">
        <v>270</v>
      </c>
      <c r="J30" s="1"/>
    </row>
    <row r="31" spans="1:10" ht="15" customHeight="1">
      <c r="A31" s="132" t="s">
        <v>98</v>
      </c>
      <c r="B31" s="136">
        <v>50</v>
      </c>
      <c r="C31" s="137">
        <v>2492.5</v>
      </c>
      <c r="D31" s="136">
        <v>15</v>
      </c>
      <c r="E31" s="134">
        <v>748.4</v>
      </c>
      <c r="F31" s="136">
        <v>65</v>
      </c>
      <c r="G31" s="134">
        <v>3240.9</v>
      </c>
      <c r="H31" s="135" t="s">
        <v>192</v>
      </c>
      <c r="I31" s="135">
        <v>184.85</v>
      </c>
      <c r="J31" s="1"/>
    </row>
    <row r="32" spans="1:10" ht="15" customHeight="1">
      <c r="A32" s="132" t="s">
        <v>103</v>
      </c>
      <c r="B32" s="136">
        <v>11</v>
      </c>
      <c r="C32" s="137">
        <v>548.5</v>
      </c>
      <c r="D32" s="136">
        <v>0</v>
      </c>
      <c r="E32" s="134">
        <v>0</v>
      </c>
      <c r="F32" s="136">
        <v>11</v>
      </c>
      <c r="G32" s="134">
        <v>548.5</v>
      </c>
      <c r="H32" s="135" t="s">
        <v>193</v>
      </c>
      <c r="I32" s="135">
        <v>300</v>
      </c>
      <c r="J32" s="1"/>
    </row>
    <row r="33" spans="1:10" ht="15" customHeight="1">
      <c r="A33" s="132" t="s">
        <v>194</v>
      </c>
      <c r="B33" s="136">
        <v>30</v>
      </c>
      <c r="C33" s="137">
        <v>1495.5</v>
      </c>
      <c r="D33" s="136">
        <v>0</v>
      </c>
      <c r="E33" s="134">
        <v>0</v>
      </c>
      <c r="F33" s="136">
        <v>30</v>
      </c>
      <c r="G33" s="134">
        <v>1495.5</v>
      </c>
      <c r="H33" s="135" t="s">
        <v>195</v>
      </c>
      <c r="I33" s="135">
        <v>257</v>
      </c>
      <c r="J33" s="1"/>
    </row>
    <row r="34" spans="1:10" ht="15" customHeight="1">
      <c r="A34" s="132" t="s">
        <v>14</v>
      </c>
      <c r="B34" s="136">
        <v>489</v>
      </c>
      <c r="C34" s="137">
        <v>24379.5</v>
      </c>
      <c r="D34" s="136">
        <v>217</v>
      </c>
      <c r="E34" s="134">
        <v>10828.5</v>
      </c>
      <c r="F34" s="136">
        <v>706</v>
      </c>
      <c r="G34" s="134">
        <v>35208</v>
      </c>
      <c r="H34" s="135" t="s">
        <v>196</v>
      </c>
      <c r="I34" s="135">
        <v>232.49</v>
      </c>
      <c r="J34" s="1"/>
    </row>
    <row r="35" spans="1:10" ht="15" customHeight="1">
      <c r="A35" s="1"/>
      <c r="C35" s="123"/>
      <c r="J35" s="1"/>
    </row>
    <row r="36" spans="1:10" ht="15" customHeight="1">
      <c r="A36" s="103" t="s">
        <v>117</v>
      </c>
      <c r="B36" s="124"/>
      <c r="C36" s="125"/>
      <c r="D36" s="124"/>
      <c r="E36" s="126"/>
      <c r="F36" s="124"/>
      <c r="G36" s="125"/>
      <c r="J36" s="1"/>
    </row>
    <row r="37" spans="1:10" ht="15" customHeight="1">
      <c r="A37" s="103" t="s">
        <v>118</v>
      </c>
      <c r="B37" s="124"/>
      <c r="C37" s="125"/>
      <c r="D37" s="124"/>
      <c r="E37" s="126"/>
      <c r="F37" s="124"/>
      <c r="G37" s="125" t="s">
        <v>119</v>
      </c>
      <c r="J37" s="1"/>
    </row>
    <row r="38" spans="1:10" ht="15" customHeight="1">
      <c r="A38" s="103" t="s">
        <v>120</v>
      </c>
      <c r="B38" s="124"/>
      <c r="C38" s="125"/>
      <c r="D38" s="124"/>
      <c r="E38" s="127"/>
      <c r="F38" s="127"/>
      <c r="G38" s="128" t="s">
        <v>121</v>
      </c>
      <c r="J38" s="1"/>
    </row>
    <row r="39" spans="1:10" ht="15" customHeight="1">
      <c r="A39" s="103" t="s">
        <v>122</v>
      </c>
      <c r="B39" s="124"/>
      <c r="C39" s="125"/>
      <c r="D39" s="124"/>
      <c r="E39" s="126"/>
      <c r="F39" s="124"/>
      <c r="G39" s="125"/>
      <c r="J39" s="1"/>
    </row>
    <row r="40" spans="1:10" ht="15" customHeight="1">
      <c r="A40" s="103" t="s">
        <v>123</v>
      </c>
      <c r="B40" s="124"/>
      <c r="C40" s="125"/>
      <c r="D40" s="124"/>
      <c r="E40" s="126"/>
      <c r="F40" s="124"/>
      <c r="G40" s="125"/>
      <c r="J40" s="1"/>
    </row>
    <row r="41" spans="1:10" ht="15" customHeight="1">
      <c r="A41" s="1"/>
      <c r="C41" s="123"/>
      <c r="J41" s="1"/>
    </row>
    <row r="42" spans="1:10" ht="15" customHeight="1">
      <c r="A42" s="1"/>
      <c r="C42" s="123"/>
      <c r="J42" s="1"/>
    </row>
    <row r="43" spans="1:10" ht="15" customHeight="1">
      <c r="A43" s="1"/>
      <c r="C43" s="123"/>
      <c r="J43" s="1"/>
    </row>
    <row r="44" spans="1:10" ht="15" customHeight="1">
      <c r="A44" s="1"/>
      <c r="C44" s="123"/>
      <c r="J44" s="1"/>
    </row>
    <row r="45" spans="1:10" ht="15" customHeight="1">
      <c r="A45" s="1"/>
      <c r="C45" s="123"/>
      <c r="J45" s="1"/>
    </row>
    <row r="46" spans="1:10" ht="15" customHeight="1">
      <c r="A46" s="1"/>
      <c r="C46" s="123"/>
      <c r="J46" s="1"/>
    </row>
    <row r="47" spans="1:10" ht="15" customHeight="1">
      <c r="A47" s="1"/>
      <c r="C47" s="123"/>
      <c r="J47" s="1"/>
    </row>
    <row r="48" spans="1:9" ht="15" customHeight="1">
      <c r="A48" s="41"/>
      <c r="B48" s="42"/>
      <c r="C48" s="43"/>
      <c r="D48" s="42"/>
      <c r="E48" s="44"/>
      <c r="F48" s="42"/>
      <c r="G48" s="44"/>
      <c r="H48" s="47"/>
      <c r="I48" s="47"/>
    </row>
    <row r="49" spans="1:9" ht="15" customHeight="1">
      <c r="A49" s="41"/>
      <c r="B49" s="42"/>
      <c r="C49" s="43"/>
      <c r="D49" s="42"/>
      <c r="E49" s="44"/>
      <c r="F49" s="42"/>
      <c r="G49" s="44"/>
      <c r="H49" s="47"/>
      <c r="I49" s="47"/>
    </row>
    <row r="50" spans="1:9" ht="15" customHeight="1">
      <c r="A50" s="41"/>
      <c r="B50" s="42"/>
      <c r="C50" s="43"/>
      <c r="D50" s="42"/>
      <c r="E50" s="44"/>
      <c r="F50" s="42"/>
      <c r="G50" s="44"/>
      <c r="H50" s="47"/>
      <c r="I50" s="47"/>
    </row>
    <row r="51" spans="1:9" ht="15" customHeight="1">
      <c r="A51" s="41"/>
      <c r="B51" s="42"/>
      <c r="C51" s="43"/>
      <c r="D51" s="42"/>
      <c r="E51" s="44"/>
      <c r="F51" s="42"/>
      <c r="G51" s="44"/>
      <c r="H51" s="47"/>
      <c r="I51" s="47"/>
    </row>
    <row r="52" spans="1:9" ht="15" customHeight="1">
      <c r="A52" s="41"/>
      <c r="B52" s="42"/>
      <c r="C52" s="43"/>
      <c r="D52" s="42"/>
      <c r="E52" s="44"/>
      <c r="F52" s="42"/>
      <c r="G52" s="44"/>
      <c r="H52" s="47"/>
      <c r="I52" s="47"/>
    </row>
    <row r="53" spans="1:9" ht="15" customHeight="1">
      <c r="A53" s="41"/>
      <c r="B53" s="42"/>
      <c r="C53" s="43"/>
      <c r="D53" s="42"/>
      <c r="E53" s="44"/>
      <c r="F53" s="42"/>
      <c r="G53" s="44"/>
      <c r="H53" s="47"/>
      <c r="I53" s="47"/>
    </row>
    <row r="54" spans="1:9" ht="15" customHeight="1">
      <c r="A54" s="41"/>
      <c r="B54" s="42"/>
      <c r="C54" s="43"/>
      <c r="D54" s="42"/>
      <c r="E54" s="44"/>
      <c r="F54" s="42"/>
      <c r="G54" s="44"/>
      <c r="H54" s="47"/>
      <c r="I54" s="47"/>
    </row>
    <row r="55" spans="1:9" ht="15" customHeight="1">
      <c r="A55" s="41"/>
      <c r="B55" s="42"/>
      <c r="C55" s="43"/>
      <c r="D55" s="42"/>
      <c r="E55" s="44"/>
      <c r="F55" s="42"/>
      <c r="G55" s="44"/>
      <c r="H55" s="47"/>
      <c r="I55" s="47"/>
    </row>
    <row r="56" spans="1:9" ht="15" customHeight="1">
      <c r="A56" s="41"/>
      <c r="B56" s="42"/>
      <c r="C56" s="43"/>
      <c r="D56" s="42"/>
      <c r="E56" s="44"/>
      <c r="F56" s="42"/>
      <c r="G56" s="44"/>
      <c r="H56" s="47"/>
      <c r="I56" s="47"/>
    </row>
    <row r="57" spans="1:9" ht="15" customHeight="1">
      <c r="A57" s="41"/>
      <c r="B57" s="42"/>
      <c r="C57" s="43"/>
      <c r="D57" s="42"/>
      <c r="E57" s="44"/>
      <c r="F57" s="42"/>
      <c r="G57" s="44"/>
      <c r="H57" s="47"/>
      <c r="I57" s="47"/>
    </row>
    <row r="58" spans="1:9" ht="15" customHeight="1">
      <c r="A58" s="41"/>
      <c r="B58" s="42"/>
      <c r="C58" s="43"/>
      <c r="D58" s="42"/>
      <c r="E58" s="44"/>
      <c r="F58" s="42"/>
      <c r="G58" s="44"/>
      <c r="H58" s="47"/>
      <c r="I58" s="47"/>
    </row>
    <row r="59" spans="1:9" ht="15" customHeight="1">
      <c r="A59" s="41"/>
      <c r="B59" s="42"/>
      <c r="C59" s="43"/>
      <c r="D59" s="42"/>
      <c r="E59" s="44"/>
      <c r="F59" s="42"/>
      <c r="G59" s="44"/>
      <c r="H59" s="47"/>
      <c r="I59" s="47"/>
    </row>
    <row r="60" spans="1:9" ht="15" customHeight="1">
      <c r="A60" s="41"/>
      <c r="B60" s="42"/>
      <c r="C60" s="43"/>
      <c r="D60" s="42"/>
      <c r="E60" s="44"/>
      <c r="F60" s="42"/>
      <c r="G60" s="44"/>
      <c r="H60" s="47"/>
      <c r="I60" s="47"/>
    </row>
    <row r="61" spans="1:9" ht="15" customHeight="1">
      <c r="A61" s="41"/>
      <c r="B61" s="42"/>
      <c r="C61" s="43"/>
      <c r="D61" s="42"/>
      <c r="E61" s="44"/>
      <c r="F61" s="42"/>
      <c r="G61" s="44"/>
      <c r="H61" s="47"/>
      <c r="I61" s="47"/>
    </row>
    <row r="62" spans="1:9" ht="15" customHeight="1">
      <c r="A62" s="41"/>
      <c r="B62" s="42"/>
      <c r="C62" s="43"/>
      <c r="D62" s="42"/>
      <c r="E62" s="44"/>
      <c r="F62" s="42"/>
      <c r="G62" s="44"/>
      <c r="H62" s="47"/>
      <c r="I62" s="47"/>
    </row>
    <row r="63" spans="1:9" ht="15" customHeight="1">
      <c r="A63" s="41"/>
      <c r="B63" s="42"/>
      <c r="C63" s="43"/>
      <c r="D63" s="42"/>
      <c r="E63" s="44"/>
      <c r="F63" s="42"/>
      <c r="G63" s="44"/>
      <c r="H63" s="47"/>
      <c r="I63" s="47"/>
    </row>
    <row r="64" spans="1:9" ht="15" customHeight="1">
      <c r="A64" s="41"/>
      <c r="B64" s="42"/>
      <c r="C64" s="43"/>
      <c r="D64" s="42"/>
      <c r="E64" s="44"/>
      <c r="F64" s="42"/>
      <c r="G64" s="44"/>
      <c r="H64" s="47"/>
      <c r="I64" s="47"/>
    </row>
    <row r="65" spans="1:9" ht="15" customHeight="1">
      <c r="A65" s="41"/>
      <c r="B65" s="42"/>
      <c r="C65" s="43"/>
      <c r="D65" s="42"/>
      <c r="E65" s="44"/>
      <c r="F65" s="42"/>
      <c r="G65" s="44"/>
      <c r="H65" s="47"/>
      <c r="I65" s="47"/>
    </row>
    <row r="66" spans="1:9" ht="15" customHeight="1">
      <c r="A66" s="41"/>
      <c r="B66" s="42"/>
      <c r="C66" s="43"/>
      <c r="D66" s="42"/>
      <c r="E66" s="44"/>
      <c r="F66" s="42"/>
      <c r="G66" s="44"/>
      <c r="H66" s="47"/>
      <c r="I66" s="47"/>
    </row>
    <row r="67" spans="1:9" ht="15" customHeight="1">
      <c r="A67" s="41"/>
      <c r="B67" s="42"/>
      <c r="C67" s="43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3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3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3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3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3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3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3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3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3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3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3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3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3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3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3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3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3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3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3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3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3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3"/>
      <c r="D89" s="42"/>
      <c r="E89" s="44"/>
      <c r="F89" s="42"/>
      <c r="G89" s="44"/>
      <c r="H89" s="47"/>
      <c r="I89" s="47"/>
    </row>
  </sheetData>
  <sheetProtection/>
  <printOptions/>
  <pageMargins left="0.7" right="0.7" top="0.83" bottom="0.7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E45" sqref="E45"/>
    </sheetView>
  </sheetViews>
  <sheetFormatPr defaultColWidth="9.140625" defaultRowHeight="15" customHeight="1"/>
  <cols>
    <col min="1" max="1" width="30.140625" style="7" customWidth="1"/>
    <col min="2" max="2" width="9.421875" style="31" bestFit="1" customWidth="1"/>
    <col min="3" max="3" width="9.421875" style="32" bestFit="1" customWidth="1"/>
    <col min="4" max="4" width="8.8515625" style="31" customWidth="1"/>
    <col min="5" max="5" width="9.421875" style="30" bestFit="1" customWidth="1"/>
    <col min="6" max="6" width="9.421875" style="31" bestFit="1" customWidth="1"/>
    <col min="7" max="7" width="10.421875" style="30" bestFit="1" customWidth="1"/>
    <col min="8" max="8" width="13.140625" style="48" bestFit="1" customWidth="1"/>
    <col min="9" max="9" width="8.8515625" style="48" customWidth="1"/>
    <col min="10" max="16384" width="9.140625" style="7" customWidth="1"/>
  </cols>
  <sheetData>
    <row r="1" spans="1:10" ht="15" customHeight="1">
      <c r="A1" s="103" t="s">
        <v>124</v>
      </c>
      <c r="B1" s="104"/>
      <c r="C1" s="105"/>
      <c r="D1" s="104"/>
      <c r="E1" s="106"/>
      <c r="F1" s="104"/>
      <c r="G1" s="105"/>
      <c r="H1" s="107"/>
      <c r="I1" s="107"/>
      <c r="J1" s="1"/>
    </row>
    <row r="2" spans="1:10" ht="15" customHeight="1">
      <c r="A2" s="103" t="s">
        <v>125</v>
      </c>
      <c r="B2" s="104"/>
      <c r="C2" s="105"/>
      <c r="D2" s="104"/>
      <c r="E2" s="106"/>
      <c r="F2" s="104"/>
      <c r="G2" s="105"/>
      <c r="H2" s="107"/>
      <c r="I2" s="107"/>
      <c r="J2" s="1"/>
    </row>
    <row r="3" spans="1:10" ht="15" customHeight="1">
      <c r="A3" s="103" t="s">
        <v>110</v>
      </c>
      <c r="B3" s="104"/>
      <c r="C3" s="105"/>
      <c r="D3" s="104"/>
      <c r="E3" s="106"/>
      <c r="F3" s="104"/>
      <c r="G3" s="105"/>
      <c r="H3" s="107"/>
      <c r="I3" s="107"/>
      <c r="J3" s="1"/>
    </row>
    <row r="4" spans="1:10" ht="15" customHeight="1">
      <c r="A4" s="103" t="s">
        <v>5</v>
      </c>
      <c r="B4" s="104"/>
      <c r="C4" s="105"/>
      <c r="D4" s="104"/>
      <c r="E4" s="106"/>
      <c r="F4" s="104"/>
      <c r="G4" s="105"/>
      <c r="H4" s="107"/>
      <c r="I4" s="107"/>
      <c r="J4" s="1"/>
    </row>
    <row r="5" spans="1:10" ht="15" customHeight="1">
      <c r="A5" s="103" t="s">
        <v>6</v>
      </c>
      <c r="B5" s="104"/>
      <c r="C5" s="105"/>
      <c r="D5" s="104"/>
      <c r="E5" s="108"/>
      <c r="F5" s="104"/>
      <c r="G5" s="105"/>
      <c r="H5" s="107"/>
      <c r="I5" s="107"/>
      <c r="J5" s="1"/>
    </row>
    <row r="6" spans="1:10" ht="15" customHeight="1">
      <c r="A6" s="103" t="s">
        <v>111</v>
      </c>
      <c r="B6" s="104"/>
      <c r="C6" s="105"/>
      <c r="D6" s="104"/>
      <c r="E6" s="106"/>
      <c r="F6" s="104"/>
      <c r="G6" s="105"/>
      <c r="H6" s="107"/>
      <c r="I6" s="107"/>
      <c r="J6" s="1"/>
    </row>
    <row r="7" spans="1:10" ht="15" customHeight="1">
      <c r="A7" s="103" t="s">
        <v>112</v>
      </c>
      <c r="B7" s="104"/>
      <c r="C7" s="105"/>
      <c r="D7" s="104"/>
      <c r="E7" s="109" t="s">
        <v>113</v>
      </c>
      <c r="F7" s="104"/>
      <c r="G7" s="105"/>
      <c r="H7" s="107"/>
      <c r="I7" s="107"/>
      <c r="J7" s="1"/>
    </row>
    <row r="8" spans="1:10" ht="15" customHeight="1">
      <c r="A8" s="103" t="s">
        <v>126</v>
      </c>
      <c r="B8" s="110"/>
      <c r="C8" s="111"/>
      <c r="D8" s="110"/>
      <c r="E8" s="112"/>
      <c r="F8" s="110"/>
      <c r="G8" s="111"/>
      <c r="H8" s="113"/>
      <c r="I8" s="113"/>
      <c r="J8" s="1"/>
    </row>
    <row r="9" spans="1:10" ht="15" customHeight="1">
      <c r="A9" s="114"/>
      <c r="B9" s="115" t="s">
        <v>45</v>
      </c>
      <c r="C9" s="116"/>
      <c r="D9" s="115" t="s">
        <v>46</v>
      </c>
      <c r="E9" s="117"/>
      <c r="F9" s="115" t="s">
        <v>47</v>
      </c>
      <c r="G9" s="117"/>
      <c r="H9" s="118"/>
      <c r="I9" s="118"/>
      <c r="J9" s="1"/>
    </row>
    <row r="10" spans="1:10" ht="15" customHeight="1">
      <c r="A10" s="119" t="s">
        <v>48</v>
      </c>
      <c r="B10" s="115" t="s">
        <v>49</v>
      </c>
      <c r="C10" s="120" t="s">
        <v>50</v>
      </c>
      <c r="D10" s="115" t="s">
        <v>49</v>
      </c>
      <c r="E10" s="121" t="s">
        <v>50</v>
      </c>
      <c r="F10" s="115" t="s">
        <v>49</v>
      </c>
      <c r="G10" s="121" t="s">
        <v>50</v>
      </c>
      <c r="H10" s="122" t="s">
        <v>51</v>
      </c>
      <c r="I10" s="122" t="s">
        <v>52</v>
      </c>
      <c r="J10" s="1"/>
    </row>
    <row r="11" spans="1:10" ht="15" customHeight="1">
      <c r="A11" s="119" t="s">
        <v>55</v>
      </c>
      <c r="B11" s="115">
        <v>11</v>
      </c>
      <c r="C11" s="120">
        <v>548.5</v>
      </c>
      <c r="D11" s="115">
        <v>0</v>
      </c>
      <c r="E11" s="121">
        <v>0</v>
      </c>
      <c r="F11" s="115">
        <v>11</v>
      </c>
      <c r="G11" s="121">
        <v>548.5</v>
      </c>
      <c r="H11" s="122" t="s">
        <v>127</v>
      </c>
      <c r="I11" s="122">
        <v>348</v>
      </c>
      <c r="J11" s="1"/>
    </row>
    <row r="12" spans="1:10" ht="15" customHeight="1">
      <c r="A12" s="119" t="s">
        <v>128</v>
      </c>
      <c r="B12" s="115">
        <v>35</v>
      </c>
      <c r="C12" s="120">
        <v>1745.5</v>
      </c>
      <c r="D12" s="115">
        <v>15</v>
      </c>
      <c r="E12" s="121">
        <v>748.4</v>
      </c>
      <c r="F12" s="115">
        <v>50</v>
      </c>
      <c r="G12" s="121">
        <v>2493.9</v>
      </c>
      <c r="H12" s="122" t="s">
        <v>129</v>
      </c>
      <c r="I12" s="122">
        <v>240.69</v>
      </c>
      <c r="J12" s="1"/>
    </row>
    <row r="13" spans="1:10" ht="15" customHeight="1">
      <c r="A13" s="119" t="s">
        <v>130</v>
      </c>
      <c r="B13" s="115">
        <v>10</v>
      </c>
      <c r="C13" s="120">
        <v>498.5</v>
      </c>
      <c r="D13" s="115">
        <v>0</v>
      </c>
      <c r="E13" s="121">
        <v>0</v>
      </c>
      <c r="F13" s="115">
        <v>10</v>
      </c>
      <c r="G13" s="121">
        <v>498.5</v>
      </c>
      <c r="H13" s="122" t="s">
        <v>131</v>
      </c>
      <c r="I13" s="122">
        <v>227</v>
      </c>
      <c r="J13" s="1"/>
    </row>
    <row r="14" spans="1:10" ht="15" customHeight="1">
      <c r="A14" s="119" t="s">
        <v>132</v>
      </c>
      <c r="B14" s="115">
        <v>40</v>
      </c>
      <c r="C14" s="120">
        <v>1997</v>
      </c>
      <c r="D14" s="115">
        <v>0</v>
      </c>
      <c r="E14" s="121">
        <v>0</v>
      </c>
      <c r="F14" s="115">
        <v>40</v>
      </c>
      <c r="G14" s="121">
        <v>1997</v>
      </c>
      <c r="H14" s="122" t="s">
        <v>133</v>
      </c>
      <c r="I14" s="122">
        <v>159.5</v>
      </c>
      <c r="J14" s="1"/>
    </row>
    <row r="15" spans="1:10" ht="15" customHeight="1">
      <c r="A15" s="119" t="s">
        <v>61</v>
      </c>
      <c r="B15" s="115"/>
      <c r="C15" s="120">
        <v>0</v>
      </c>
      <c r="D15" s="115">
        <v>15</v>
      </c>
      <c r="E15" s="121">
        <v>748.4</v>
      </c>
      <c r="F15" s="115">
        <v>15</v>
      </c>
      <c r="G15" s="121">
        <v>748.4</v>
      </c>
      <c r="H15" s="122" t="s">
        <v>134</v>
      </c>
      <c r="I15" s="122">
        <v>293.33</v>
      </c>
      <c r="J15" s="1"/>
    </row>
    <row r="16" spans="1:10" ht="15" customHeight="1">
      <c r="A16" s="119" t="s">
        <v>63</v>
      </c>
      <c r="B16" s="115">
        <v>8</v>
      </c>
      <c r="C16" s="120">
        <v>400</v>
      </c>
      <c r="D16" s="115">
        <v>0</v>
      </c>
      <c r="E16" s="121">
        <v>0</v>
      </c>
      <c r="F16" s="115">
        <v>8</v>
      </c>
      <c r="G16" s="121">
        <v>400</v>
      </c>
      <c r="H16" s="122" t="s">
        <v>135</v>
      </c>
      <c r="I16" s="122">
        <v>310</v>
      </c>
      <c r="J16" s="1"/>
    </row>
    <row r="17" spans="1:10" ht="15" customHeight="1">
      <c r="A17" s="119" t="s">
        <v>136</v>
      </c>
      <c r="B17" s="115">
        <v>221</v>
      </c>
      <c r="C17" s="120">
        <v>11018.5</v>
      </c>
      <c r="D17" s="115">
        <v>0</v>
      </c>
      <c r="E17" s="121">
        <v>0</v>
      </c>
      <c r="F17" s="115">
        <v>221</v>
      </c>
      <c r="G17" s="121">
        <v>11018.5</v>
      </c>
      <c r="H17" s="122" t="s">
        <v>137</v>
      </c>
      <c r="I17" s="122">
        <v>253.28</v>
      </c>
      <c r="J17" s="1"/>
    </row>
    <row r="18" spans="1:10" ht="15" customHeight="1">
      <c r="A18" s="119" t="s">
        <v>67</v>
      </c>
      <c r="B18" s="115">
        <v>100</v>
      </c>
      <c r="C18" s="120">
        <v>4985</v>
      </c>
      <c r="D18" s="115">
        <v>50</v>
      </c>
      <c r="E18" s="121">
        <v>2495.2</v>
      </c>
      <c r="F18" s="115">
        <v>150</v>
      </c>
      <c r="G18" s="121">
        <v>7480.2</v>
      </c>
      <c r="H18" s="122" t="s">
        <v>138</v>
      </c>
      <c r="I18" s="122">
        <v>229.89</v>
      </c>
      <c r="J18" s="1"/>
    </row>
    <row r="19" spans="1:10" ht="15" customHeight="1">
      <c r="A19" s="119" t="s">
        <v>69</v>
      </c>
      <c r="B19" s="115">
        <v>10</v>
      </c>
      <c r="C19" s="120">
        <v>498.5</v>
      </c>
      <c r="D19" s="115">
        <v>0</v>
      </c>
      <c r="E19" s="121">
        <v>0</v>
      </c>
      <c r="F19" s="115">
        <v>10</v>
      </c>
      <c r="G19" s="121">
        <v>498.5</v>
      </c>
      <c r="H19" s="122" t="s">
        <v>139</v>
      </c>
      <c r="I19" s="122">
        <v>275</v>
      </c>
      <c r="J19" s="1"/>
    </row>
    <row r="20" spans="1:10" ht="15" customHeight="1">
      <c r="A20" s="119" t="s">
        <v>71</v>
      </c>
      <c r="B20" s="115">
        <v>212</v>
      </c>
      <c r="C20" s="120">
        <v>10570</v>
      </c>
      <c r="D20" s="115">
        <v>88</v>
      </c>
      <c r="E20" s="121">
        <v>4391.5</v>
      </c>
      <c r="F20" s="115">
        <v>300</v>
      </c>
      <c r="G20" s="121">
        <v>14961.5</v>
      </c>
      <c r="H20" s="122" t="s">
        <v>140</v>
      </c>
      <c r="I20" s="122">
        <v>239.16</v>
      </c>
      <c r="J20" s="1"/>
    </row>
    <row r="21" spans="1:10" ht="15" customHeight="1">
      <c r="A21" s="119" t="s">
        <v>141</v>
      </c>
      <c r="B21" s="115"/>
      <c r="C21" s="120">
        <v>0</v>
      </c>
      <c r="D21" s="115">
        <v>15</v>
      </c>
      <c r="E21" s="121">
        <v>748.4</v>
      </c>
      <c r="F21" s="115">
        <v>15</v>
      </c>
      <c r="G21" s="121">
        <v>748.4</v>
      </c>
      <c r="H21" s="122" t="s">
        <v>142</v>
      </c>
      <c r="I21" s="122">
        <v>273</v>
      </c>
      <c r="J21" s="1"/>
    </row>
    <row r="22" spans="1:10" ht="15" customHeight="1">
      <c r="A22" s="119" t="s">
        <v>75</v>
      </c>
      <c r="B22" s="115">
        <v>36</v>
      </c>
      <c r="C22" s="120">
        <v>1795.5</v>
      </c>
      <c r="D22" s="115">
        <v>40</v>
      </c>
      <c r="E22" s="121">
        <v>1996</v>
      </c>
      <c r="F22" s="115">
        <v>76</v>
      </c>
      <c r="G22" s="121">
        <v>3791.5</v>
      </c>
      <c r="H22" s="122" t="s">
        <v>143</v>
      </c>
      <c r="I22" s="122">
        <v>242</v>
      </c>
      <c r="J22" s="1"/>
    </row>
    <row r="23" spans="1:10" ht="14.25">
      <c r="A23" s="119" t="s">
        <v>77</v>
      </c>
      <c r="B23" s="115">
        <v>4</v>
      </c>
      <c r="C23" s="120">
        <v>198.5</v>
      </c>
      <c r="D23" s="115">
        <f>5+13</f>
        <v>18</v>
      </c>
      <c r="E23" s="121">
        <f>249.5+648.7</f>
        <v>898.2</v>
      </c>
      <c r="F23" s="115">
        <f>9+13</f>
        <v>22</v>
      </c>
      <c r="G23" s="121">
        <f>448+648.7</f>
        <v>1096.7</v>
      </c>
      <c r="H23" s="122">
        <f>139340.5+154631.1</f>
        <v>293971.6</v>
      </c>
      <c r="I23" s="122">
        <f>H23/G23</f>
        <v>268.0510622777423</v>
      </c>
      <c r="J23" s="1"/>
    </row>
    <row r="24" spans="1:10" ht="15" customHeight="1">
      <c r="A24" s="119" t="s">
        <v>79</v>
      </c>
      <c r="B24" s="115"/>
      <c r="C24" s="120">
        <v>0</v>
      </c>
      <c r="D24" s="115">
        <v>5</v>
      </c>
      <c r="E24" s="121">
        <v>249</v>
      </c>
      <c r="F24" s="115">
        <v>5</v>
      </c>
      <c r="G24" s="121">
        <v>249</v>
      </c>
      <c r="H24" s="122">
        <v>78690</v>
      </c>
      <c r="I24" s="122">
        <v>316.02</v>
      </c>
      <c r="J24" s="1"/>
    </row>
    <row r="25" spans="1:10" ht="15" customHeight="1">
      <c r="A25" s="119" t="s">
        <v>144</v>
      </c>
      <c r="B25" s="115">
        <v>10</v>
      </c>
      <c r="C25" s="120">
        <v>498.5</v>
      </c>
      <c r="D25" s="115">
        <v>0</v>
      </c>
      <c r="E25" s="121">
        <v>0</v>
      </c>
      <c r="F25" s="115">
        <v>10</v>
      </c>
      <c r="G25" s="121">
        <v>498.5</v>
      </c>
      <c r="H25" s="122" t="s">
        <v>145</v>
      </c>
      <c r="I25" s="122">
        <v>226</v>
      </c>
      <c r="J25" s="1"/>
    </row>
    <row r="26" spans="1:10" ht="15" customHeight="1">
      <c r="A26" s="119" t="s">
        <v>146</v>
      </c>
      <c r="B26" s="115">
        <v>20</v>
      </c>
      <c r="C26" s="120">
        <v>997</v>
      </c>
      <c r="D26" s="115">
        <v>0</v>
      </c>
      <c r="E26" s="121">
        <v>0</v>
      </c>
      <c r="F26" s="115">
        <v>20</v>
      </c>
      <c r="G26" s="121">
        <v>997</v>
      </c>
      <c r="H26" s="122" t="s">
        <v>147</v>
      </c>
      <c r="I26" s="122">
        <v>295.5</v>
      </c>
      <c r="J26" s="1"/>
    </row>
    <row r="27" spans="1:10" ht="15" customHeight="1">
      <c r="A27" s="119" t="s">
        <v>81</v>
      </c>
      <c r="B27" s="115">
        <v>30</v>
      </c>
      <c r="C27" s="120">
        <v>1495.5</v>
      </c>
      <c r="D27" s="115">
        <v>0</v>
      </c>
      <c r="E27" s="121">
        <v>0</v>
      </c>
      <c r="F27" s="115">
        <v>30</v>
      </c>
      <c r="G27" s="121">
        <v>1495.5</v>
      </c>
      <c r="H27" s="122" t="s">
        <v>148</v>
      </c>
      <c r="I27" s="122">
        <v>259.33</v>
      </c>
      <c r="J27" s="1"/>
    </row>
    <row r="28" spans="1:10" ht="15" customHeight="1">
      <c r="A28" s="119" t="s">
        <v>87</v>
      </c>
      <c r="B28" s="115">
        <v>21</v>
      </c>
      <c r="C28" s="120">
        <v>1047</v>
      </c>
      <c r="D28" s="115">
        <v>0</v>
      </c>
      <c r="E28" s="121">
        <v>0</v>
      </c>
      <c r="F28" s="115">
        <v>21</v>
      </c>
      <c r="G28" s="121">
        <v>1047</v>
      </c>
      <c r="H28" s="122" t="s">
        <v>149</v>
      </c>
      <c r="I28" s="122">
        <v>282.72</v>
      </c>
      <c r="J28" s="1"/>
    </row>
    <row r="29" spans="1:10" ht="15" customHeight="1">
      <c r="A29" s="119" t="s">
        <v>150</v>
      </c>
      <c r="B29" s="115">
        <v>11</v>
      </c>
      <c r="C29" s="120">
        <v>548.5</v>
      </c>
      <c r="D29" s="115">
        <v>0</v>
      </c>
      <c r="E29" s="121">
        <v>0</v>
      </c>
      <c r="F29" s="115">
        <v>11</v>
      </c>
      <c r="G29" s="121">
        <v>548.5</v>
      </c>
      <c r="H29" s="122" t="s">
        <v>151</v>
      </c>
      <c r="I29" s="122">
        <v>291.09</v>
      </c>
      <c r="J29" s="1"/>
    </row>
    <row r="30" spans="1:10" ht="15" customHeight="1">
      <c r="A30" s="119" t="s">
        <v>90</v>
      </c>
      <c r="B30" s="115">
        <v>30</v>
      </c>
      <c r="C30" s="120">
        <v>1495.5</v>
      </c>
      <c r="D30" s="115">
        <v>0</v>
      </c>
      <c r="E30" s="121">
        <v>0</v>
      </c>
      <c r="F30" s="115">
        <v>30</v>
      </c>
      <c r="G30" s="121">
        <v>1495.5</v>
      </c>
      <c r="H30" s="122" t="s">
        <v>152</v>
      </c>
      <c r="I30" s="122">
        <v>234.33</v>
      </c>
      <c r="J30" s="1"/>
    </row>
    <row r="31" spans="1:10" ht="15" customHeight="1">
      <c r="A31" s="119" t="s">
        <v>153</v>
      </c>
      <c r="B31" s="115"/>
      <c r="C31" s="120">
        <v>0</v>
      </c>
      <c r="D31" s="115">
        <v>15</v>
      </c>
      <c r="E31" s="121">
        <v>748.5</v>
      </c>
      <c r="F31" s="115">
        <v>15</v>
      </c>
      <c r="G31" s="121">
        <v>748.5</v>
      </c>
      <c r="H31" s="122" t="s">
        <v>154</v>
      </c>
      <c r="I31" s="122">
        <v>260.92</v>
      </c>
      <c r="J31" s="1"/>
    </row>
    <row r="32" spans="1:10" ht="15" customHeight="1">
      <c r="A32" s="119" t="s">
        <v>155</v>
      </c>
      <c r="B32" s="115">
        <v>21</v>
      </c>
      <c r="C32" s="120">
        <v>1047</v>
      </c>
      <c r="D32" s="115">
        <v>0</v>
      </c>
      <c r="E32" s="121">
        <v>0</v>
      </c>
      <c r="F32" s="115">
        <v>21</v>
      </c>
      <c r="G32" s="121">
        <v>1047</v>
      </c>
      <c r="H32" s="122" t="s">
        <v>156</v>
      </c>
      <c r="I32" s="122">
        <v>295.24</v>
      </c>
      <c r="J32" s="1"/>
    </row>
    <row r="33" spans="1:10" ht="15" customHeight="1">
      <c r="A33" s="119" t="s">
        <v>157</v>
      </c>
      <c r="B33" s="115">
        <v>30</v>
      </c>
      <c r="C33" s="120">
        <v>1495.5</v>
      </c>
      <c r="D33" s="115">
        <v>0</v>
      </c>
      <c r="E33" s="121">
        <v>0</v>
      </c>
      <c r="F33" s="115">
        <v>30</v>
      </c>
      <c r="G33" s="121">
        <v>1495.5</v>
      </c>
      <c r="H33" s="122" t="s">
        <v>158</v>
      </c>
      <c r="I33" s="122">
        <v>224.33</v>
      </c>
      <c r="J33" s="1"/>
    </row>
    <row r="34" spans="1:10" ht="15" customHeight="1">
      <c r="A34" s="119" t="s">
        <v>94</v>
      </c>
      <c r="B34" s="115">
        <v>52</v>
      </c>
      <c r="C34" s="120">
        <v>2592.5</v>
      </c>
      <c r="D34" s="115">
        <v>70</v>
      </c>
      <c r="E34" s="121">
        <v>3494.4</v>
      </c>
      <c r="F34" s="115">
        <v>122</v>
      </c>
      <c r="G34" s="121">
        <v>6086.9</v>
      </c>
      <c r="H34" s="122" t="s">
        <v>159</v>
      </c>
      <c r="I34" s="122">
        <v>231.31</v>
      </c>
      <c r="J34" s="1"/>
    </row>
    <row r="35" spans="1:10" ht="15" customHeight="1">
      <c r="A35" s="119" t="s">
        <v>96</v>
      </c>
      <c r="B35" s="115">
        <v>30</v>
      </c>
      <c r="C35" s="120">
        <v>1495.5</v>
      </c>
      <c r="D35" s="115">
        <v>0</v>
      </c>
      <c r="E35" s="121">
        <v>0</v>
      </c>
      <c r="F35" s="115">
        <v>30</v>
      </c>
      <c r="G35" s="121">
        <v>1495.5</v>
      </c>
      <c r="H35" s="122" t="s">
        <v>160</v>
      </c>
      <c r="I35" s="122">
        <v>262</v>
      </c>
      <c r="J35" s="1"/>
    </row>
    <row r="36" spans="1:10" ht="15" customHeight="1">
      <c r="A36" s="119" t="s">
        <v>98</v>
      </c>
      <c r="B36" s="115">
        <v>31</v>
      </c>
      <c r="C36" s="120">
        <v>1542.5</v>
      </c>
      <c r="D36" s="115">
        <v>5</v>
      </c>
      <c r="E36" s="121">
        <v>249.5</v>
      </c>
      <c r="F36" s="115">
        <v>36</v>
      </c>
      <c r="G36" s="121">
        <v>1792</v>
      </c>
      <c r="H36" s="122" t="s">
        <v>161</v>
      </c>
      <c r="I36" s="122">
        <v>249.01</v>
      </c>
      <c r="J36" s="1"/>
    </row>
    <row r="37" spans="1:10" ht="15" customHeight="1">
      <c r="A37" s="119" t="s">
        <v>99</v>
      </c>
      <c r="B37" s="115"/>
      <c r="C37" s="120">
        <v>0</v>
      </c>
      <c r="D37" s="115">
        <v>70</v>
      </c>
      <c r="E37" s="121">
        <v>3492</v>
      </c>
      <c r="F37" s="115">
        <v>70</v>
      </c>
      <c r="G37" s="121">
        <v>3492</v>
      </c>
      <c r="H37" s="122" t="s">
        <v>162</v>
      </c>
      <c r="I37" s="122">
        <v>272.99</v>
      </c>
      <c r="J37" s="1"/>
    </row>
    <row r="38" spans="1:10" ht="15" customHeight="1">
      <c r="A38" s="119" t="s">
        <v>14</v>
      </c>
      <c r="B38" s="115">
        <v>973</v>
      </c>
      <c r="C38" s="120">
        <v>48510.5</v>
      </c>
      <c r="D38" s="115">
        <v>406</v>
      </c>
      <c r="E38" s="121">
        <v>20259.5</v>
      </c>
      <c r="F38" s="115">
        <v>1379</v>
      </c>
      <c r="G38" s="121">
        <v>68770</v>
      </c>
      <c r="H38" s="122" t="s">
        <v>163</v>
      </c>
      <c r="I38" s="122">
        <v>246.14</v>
      </c>
      <c r="J38" s="1"/>
    </row>
    <row r="39" spans="1:10" ht="15" customHeight="1">
      <c r="A39" s="1"/>
      <c r="C39" s="123"/>
      <c r="J39" s="1"/>
    </row>
    <row r="40" spans="1:10" ht="15" customHeight="1">
      <c r="A40" s="103" t="s">
        <v>117</v>
      </c>
      <c r="B40" s="124"/>
      <c r="C40" s="125"/>
      <c r="D40" s="124"/>
      <c r="E40" s="126"/>
      <c r="F40" s="124"/>
      <c r="G40" s="125"/>
      <c r="J40" s="1"/>
    </row>
    <row r="41" spans="1:10" ht="15" customHeight="1">
      <c r="A41" s="103" t="s">
        <v>118</v>
      </c>
      <c r="B41" s="124"/>
      <c r="C41" s="125"/>
      <c r="D41" s="124"/>
      <c r="E41" s="126"/>
      <c r="F41" s="124"/>
      <c r="G41" s="125" t="s">
        <v>119</v>
      </c>
      <c r="J41" s="1"/>
    </row>
    <row r="42" spans="1:10" ht="15" customHeight="1">
      <c r="A42" s="103" t="s">
        <v>120</v>
      </c>
      <c r="B42" s="124"/>
      <c r="C42" s="125"/>
      <c r="D42" s="124"/>
      <c r="E42" s="127"/>
      <c r="F42" s="127"/>
      <c r="G42" s="128" t="s">
        <v>121</v>
      </c>
      <c r="J42" s="1"/>
    </row>
    <row r="43" spans="1:10" ht="15" customHeight="1">
      <c r="A43" s="103" t="s">
        <v>122</v>
      </c>
      <c r="B43" s="124"/>
      <c r="C43" s="125"/>
      <c r="D43" s="124"/>
      <c r="E43" s="126"/>
      <c r="F43" s="124"/>
      <c r="G43" s="125"/>
      <c r="J43" s="1"/>
    </row>
    <row r="44" spans="1:10" ht="15" customHeight="1">
      <c r="A44" s="103" t="s">
        <v>123</v>
      </c>
      <c r="B44" s="124"/>
      <c r="C44" s="125"/>
      <c r="D44" s="124"/>
      <c r="E44" s="126"/>
      <c r="F44" s="124"/>
      <c r="G44" s="125"/>
      <c r="J44" s="1"/>
    </row>
    <row r="45" spans="1:10" ht="15" customHeight="1">
      <c r="A45" s="1"/>
      <c r="C45" s="123"/>
      <c r="J45" s="1"/>
    </row>
    <row r="46" spans="1:10" ht="15" customHeight="1">
      <c r="A46" s="1"/>
      <c r="C46" s="123"/>
      <c r="J46" s="1"/>
    </row>
    <row r="47" spans="1:10" ht="15" customHeight="1">
      <c r="A47" s="1"/>
      <c r="C47" s="123"/>
      <c r="J47" s="1"/>
    </row>
    <row r="48" spans="1:10" ht="15" customHeight="1">
      <c r="A48" s="1"/>
      <c r="C48" s="123"/>
      <c r="J48" s="1"/>
    </row>
    <row r="49" spans="1:10" ht="15" customHeight="1">
      <c r="A49" s="1"/>
      <c r="C49" s="123"/>
      <c r="J49" s="1"/>
    </row>
    <row r="50" spans="1:10" ht="15" customHeight="1">
      <c r="A50" s="1"/>
      <c r="C50" s="123"/>
      <c r="J50" s="1"/>
    </row>
    <row r="51" spans="1:10" ht="15" customHeight="1">
      <c r="A51" s="1"/>
      <c r="C51" s="123"/>
      <c r="J51" s="1"/>
    </row>
    <row r="52" spans="1:9" ht="15" customHeight="1">
      <c r="A52" s="41"/>
      <c r="B52" s="42"/>
      <c r="C52" s="43"/>
      <c r="D52" s="42"/>
      <c r="E52" s="44"/>
      <c r="F52" s="42"/>
      <c r="G52" s="44"/>
      <c r="H52" s="47"/>
      <c r="I52" s="47"/>
    </row>
    <row r="53" spans="1:9" ht="15" customHeight="1">
      <c r="A53" s="41"/>
      <c r="B53" s="42"/>
      <c r="C53" s="43"/>
      <c r="D53" s="42"/>
      <c r="E53" s="44"/>
      <c r="F53" s="42"/>
      <c r="G53" s="44"/>
      <c r="H53" s="47"/>
      <c r="I53" s="47"/>
    </row>
    <row r="54" spans="1:9" ht="15" customHeight="1">
      <c r="A54" s="41"/>
      <c r="B54" s="42"/>
      <c r="C54" s="43"/>
      <c r="D54" s="42"/>
      <c r="E54" s="44"/>
      <c r="F54" s="42"/>
      <c r="G54" s="44"/>
      <c r="H54" s="47"/>
      <c r="I54" s="47"/>
    </row>
    <row r="55" spans="1:9" ht="15" customHeight="1">
      <c r="A55" s="41"/>
      <c r="B55" s="42"/>
      <c r="C55" s="43"/>
      <c r="D55" s="42"/>
      <c r="E55" s="44"/>
      <c r="F55" s="42"/>
      <c r="G55" s="44"/>
      <c r="H55" s="47"/>
      <c r="I55" s="47"/>
    </row>
    <row r="56" spans="1:9" ht="15" customHeight="1">
      <c r="A56" s="41"/>
      <c r="B56" s="42"/>
      <c r="C56" s="43"/>
      <c r="D56" s="42"/>
      <c r="E56" s="44"/>
      <c r="F56" s="42"/>
      <c r="G56" s="44"/>
      <c r="H56" s="47"/>
      <c r="I56" s="47"/>
    </row>
    <row r="57" spans="1:9" ht="15" customHeight="1">
      <c r="A57" s="41"/>
      <c r="B57" s="42"/>
      <c r="C57" s="43"/>
      <c r="D57" s="42"/>
      <c r="E57" s="44"/>
      <c r="F57" s="42"/>
      <c r="G57" s="44"/>
      <c r="H57" s="47"/>
      <c r="I57" s="47"/>
    </row>
    <row r="58" spans="1:9" ht="15" customHeight="1">
      <c r="A58" s="41"/>
      <c r="B58" s="42"/>
      <c r="C58" s="43"/>
      <c r="D58" s="42"/>
      <c r="E58" s="44"/>
      <c r="F58" s="42"/>
      <c r="G58" s="44"/>
      <c r="H58" s="47"/>
      <c r="I58" s="47"/>
    </row>
    <row r="59" spans="1:9" ht="15" customHeight="1">
      <c r="A59" s="41"/>
      <c r="B59" s="42"/>
      <c r="C59" s="43"/>
      <c r="D59" s="42"/>
      <c r="E59" s="44"/>
      <c r="F59" s="42"/>
      <c r="G59" s="44"/>
      <c r="H59" s="47"/>
      <c r="I59" s="47"/>
    </row>
    <row r="60" spans="1:9" ht="15" customHeight="1">
      <c r="A60" s="41"/>
      <c r="B60" s="42"/>
      <c r="C60" s="43"/>
      <c r="D60" s="42"/>
      <c r="E60" s="44"/>
      <c r="F60" s="42"/>
      <c r="G60" s="44"/>
      <c r="H60" s="47"/>
      <c r="I60" s="47"/>
    </row>
    <row r="61" spans="1:9" ht="15" customHeight="1">
      <c r="A61" s="41"/>
      <c r="B61" s="42"/>
      <c r="C61" s="43"/>
      <c r="D61" s="42"/>
      <c r="E61" s="44"/>
      <c r="F61" s="42"/>
      <c r="G61" s="44"/>
      <c r="H61" s="47"/>
      <c r="I61" s="47"/>
    </row>
    <row r="62" spans="1:9" ht="15" customHeight="1">
      <c r="A62" s="41"/>
      <c r="B62" s="42"/>
      <c r="C62" s="43"/>
      <c r="D62" s="42"/>
      <c r="E62" s="44"/>
      <c r="F62" s="42"/>
      <c r="G62" s="44"/>
      <c r="H62" s="47"/>
      <c r="I62" s="47"/>
    </row>
    <row r="63" spans="1:9" ht="15" customHeight="1">
      <c r="A63" s="41"/>
      <c r="B63" s="42"/>
      <c r="C63" s="43"/>
      <c r="D63" s="42"/>
      <c r="E63" s="44"/>
      <c r="F63" s="42"/>
      <c r="G63" s="44"/>
      <c r="H63" s="47"/>
      <c r="I63" s="47"/>
    </row>
    <row r="64" spans="1:9" ht="15" customHeight="1">
      <c r="A64" s="41"/>
      <c r="B64" s="42"/>
      <c r="C64" s="43"/>
      <c r="D64" s="42"/>
      <c r="E64" s="44"/>
      <c r="F64" s="42"/>
      <c r="G64" s="44"/>
      <c r="H64" s="47"/>
      <c r="I64" s="47"/>
    </row>
    <row r="65" spans="1:9" ht="15" customHeight="1">
      <c r="A65" s="41"/>
      <c r="B65" s="42"/>
      <c r="C65" s="43"/>
      <c r="D65" s="42"/>
      <c r="E65" s="44"/>
      <c r="F65" s="42"/>
      <c r="G65" s="44"/>
      <c r="H65" s="47"/>
      <c r="I65" s="47"/>
    </row>
    <row r="66" spans="1:9" ht="15" customHeight="1">
      <c r="A66" s="41"/>
      <c r="B66" s="42"/>
      <c r="C66" s="43"/>
      <c r="D66" s="42"/>
      <c r="E66" s="44"/>
      <c r="F66" s="42"/>
      <c r="G66" s="44"/>
      <c r="H66" s="47"/>
      <c r="I66" s="47"/>
    </row>
    <row r="67" spans="1:9" ht="15" customHeight="1">
      <c r="A67" s="41"/>
      <c r="B67" s="42"/>
      <c r="C67" s="43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3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3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3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3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3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3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3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3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3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3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3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3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3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3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3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3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3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3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3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3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3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3"/>
      <c r="D89" s="42"/>
      <c r="E89" s="44"/>
      <c r="F89" s="42"/>
      <c r="G89" s="44"/>
      <c r="H89" s="47"/>
      <c r="I89" s="47"/>
    </row>
    <row r="90" spans="1:9" ht="15" customHeight="1">
      <c r="A90" s="41"/>
      <c r="B90" s="42"/>
      <c r="C90" s="43"/>
      <c r="D90" s="42"/>
      <c r="E90" s="44"/>
      <c r="F90" s="42"/>
      <c r="G90" s="44"/>
      <c r="H90" s="47"/>
      <c r="I90" s="47"/>
    </row>
    <row r="91" spans="1:9" ht="15" customHeight="1">
      <c r="A91" s="41"/>
      <c r="B91" s="42"/>
      <c r="C91" s="43"/>
      <c r="D91" s="42"/>
      <c r="E91" s="44"/>
      <c r="F91" s="42"/>
      <c r="G91" s="44"/>
      <c r="H91" s="47"/>
      <c r="I91" s="47"/>
    </row>
    <row r="92" spans="1:9" ht="15" customHeight="1">
      <c r="A92" s="41"/>
      <c r="B92" s="42"/>
      <c r="C92" s="43"/>
      <c r="D92" s="42"/>
      <c r="E92" s="44"/>
      <c r="F92" s="42"/>
      <c r="G92" s="44"/>
      <c r="H92" s="47"/>
      <c r="I92" s="47"/>
    </row>
    <row r="93" spans="1:9" ht="15" customHeight="1">
      <c r="A93" s="41"/>
      <c r="B93" s="42"/>
      <c r="C93" s="43"/>
      <c r="D93" s="42"/>
      <c r="E93" s="44"/>
      <c r="F93" s="42"/>
      <c r="G93" s="44"/>
      <c r="H93" s="47"/>
      <c r="I93" s="47"/>
    </row>
  </sheetData>
  <sheetProtection/>
  <printOptions/>
  <pageMargins left="0.7" right="0.7" top="0.83" bottom="0.7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1">
      <selection activeCell="D2" sqref="D2"/>
    </sheetView>
  </sheetViews>
  <sheetFormatPr defaultColWidth="9.140625" defaultRowHeight="15" customHeight="1"/>
  <cols>
    <col min="1" max="1" width="30.140625" style="0" customWidth="1"/>
    <col min="2" max="2" width="9.421875" style="31" bestFit="1" customWidth="1"/>
    <col min="3" max="3" width="9.421875" style="32" bestFit="1" customWidth="1"/>
    <col min="4" max="4" width="8.8515625" style="31" customWidth="1"/>
    <col min="5" max="5" width="9.421875" style="30" bestFit="1" customWidth="1"/>
    <col min="6" max="6" width="9.421875" style="31" bestFit="1" customWidth="1"/>
    <col min="7" max="7" width="10.421875" style="30" bestFit="1" customWidth="1"/>
    <col min="8" max="8" width="13.140625" style="48" bestFit="1" customWidth="1"/>
    <col min="9" max="9" width="8.8515625" style="48" customWidth="1"/>
  </cols>
  <sheetData>
    <row r="1" spans="1:9" ht="15" customHeight="1">
      <c r="A1" s="19" t="s">
        <v>114</v>
      </c>
      <c r="B1" s="20"/>
      <c r="C1" s="21"/>
      <c r="D1" s="20"/>
      <c r="E1" s="22"/>
      <c r="F1" s="20"/>
      <c r="G1" s="21"/>
      <c r="H1" s="23"/>
      <c r="I1" s="23"/>
    </row>
    <row r="2" spans="1:9" ht="15" customHeight="1">
      <c r="A2" s="19" t="s">
        <v>115</v>
      </c>
      <c r="B2" s="20"/>
      <c r="C2" s="21"/>
      <c r="D2" s="20"/>
      <c r="E2" s="22"/>
      <c r="F2" s="20"/>
      <c r="G2" s="21"/>
      <c r="H2" s="23"/>
      <c r="I2" s="23"/>
    </row>
    <row r="3" spans="1:9" ht="15" customHeight="1">
      <c r="A3" s="19" t="s">
        <v>110</v>
      </c>
      <c r="B3" s="20"/>
      <c r="C3" s="21"/>
      <c r="D3" s="20"/>
      <c r="E3" s="22"/>
      <c r="F3" s="20"/>
      <c r="G3" s="21"/>
      <c r="H3" s="23"/>
      <c r="I3" s="23"/>
    </row>
    <row r="4" spans="1:9" ht="15" customHeight="1">
      <c r="A4" s="19" t="s">
        <v>5</v>
      </c>
      <c r="B4" s="20"/>
      <c r="C4" s="21"/>
      <c r="D4" s="20"/>
      <c r="E4" s="22"/>
      <c r="F4" s="20"/>
      <c r="G4" s="21"/>
      <c r="H4" s="23"/>
      <c r="I4" s="23"/>
    </row>
    <row r="5" spans="1:9" ht="15" customHeight="1">
      <c r="A5" s="19" t="s">
        <v>6</v>
      </c>
      <c r="B5" s="20"/>
      <c r="C5" s="21"/>
      <c r="D5" s="20"/>
      <c r="E5" s="24"/>
      <c r="F5" s="20"/>
      <c r="G5" s="21"/>
      <c r="H5" s="23"/>
      <c r="I5" s="23"/>
    </row>
    <row r="6" spans="1:9" ht="15" customHeight="1">
      <c r="A6" s="19" t="s">
        <v>111</v>
      </c>
      <c r="B6" s="20"/>
      <c r="C6" s="21"/>
      <c r="D6" s="20"/>
      <c r="E6" s="22"/>
      <c r="F6" s="20"/>
      <c r="G6" s="21"/>
      <c r="H6" s="23"/>
      <c r="I6" s="23"/>
    </row>
    <row r="7" spans="1:9" ht="15" customHeight="1">
      <c r="A7" s="19" t="s">
        <v>112</v>
      </c>
      <c r="B7" s="20"/>
      <c r="C7" s="21"/>
      <c r="D7" s="20"/>
      <c r="E7" s="25" t="s">
        <v>113</v>
      </c>
      <c r="F7" s="20"/>
      <c r="G7" s="21"/>
      <c r="H7" s="23"/>
      <c r="I7" s="23"/>
    </row>
    <row r="8" spans="1:9" ht="15" customHeight="1">
      <c r="A8" s="19" t="s">
        <v>116</v>
      </c>
      <c r="B8" s="26"/>
      <c r="C8" s="27"/>
      <c r="D8" s="26"/>
      <c r="E8" s="28"/>
      <c r="F8" s="26"/>
      <c r="G8" s="27"/>
      <c r="H8" s="29"/>
      <c r="I8" s="29"/>
    </row>
    <row r="9" spans="1:9" ht="15" customHeight="1">
      <c r="A9" s="33"/>
      <c r="B9" s="34" t="s">
        <v>45</v>
      </c>
      <c r="C9" s="35"/>
      <c r="D9" s="34" t="s">
        <v>46</v>
      </c>
      <c r="E9" s="36"/>
      <c r="F9" s="34" t="s">
        <v>47</v>
      </c>
      <c r="G9" s="36"/>
      <c r="H9" s="45"/>
      <c r="I9" s="45"/>
    </row>
    <row r="10" spans="1:9" ht="15" customHeight="1">
      <c r="A10" s="37" t="s">
        <v>48</v>
      </c>
      <c r="B10" s="34" t="s">
        <v>49</v>
      </c>
      <c r="C10" s="38" t="s">
        <v>50</v>
      </c>
      <c r="D10" s="34" t="s">
        <v>49</v>
      </c>
      <c r="E10" s="39" t="s">
        <v>50</v>
      </c>
      <c r="F10" s="34" t="s">
        <v>49</v>
      </c>
      <c r="G10" s="39" t="s">
        <v>50</v>
      </c>
      <c r="H10" s="46" t="s">
        <v>51</v>
      </c>
      <c r="I10" s="46" t="s">
        <v>52</v>
      </c>
    </row>
    <row r="11" spans="1:9" ht="15" customHeight="1">
      <c r="A11" s="37" t="s">
        <v>53</v>
      </c>
      <c r="B11" s="34">
        <v>20</v>
      </c>
      <c r="C11" s="38">
        <v>997</v>
      </c>
      <c r="D11" s="34">
        <v>0</v>
      </c>
      <c r="E11" s="39">
        <v>0</v>
      </c>
      <c r="F11" s="34">
        <v>20</v>
      </c>
      <c r="G11" s="39">
        <v>997</v>
      </c>
      <c r="H11" s="46" t="s">
        <v>54</v>
      </c>
      <c r="I11" s="46">
        <v>235.5</v>
      </c>
    </row>
    <row r="12" spans="1:9" ht="15" customHeight="1">
      <c r="A12" s="37" t="s">
        <v>55</v>
      </c>
      <c r="B12" s="34">
        <v>30</v>
      </c>
      <c r="C12" s="38">
        <v>1495.5</v>
      </c>
      <c r="D12" s="34">
        <v>0</v>
      </c>
      <c r="E12" s="39">
        <v>0</v>
      </c>
      <c r="F12" s="34">
        <v>30</v>
      </c>
      <c r="G12" s="39">
        <v>1495.5</v>
      </c>
      <c r="H12" s="46" t="s">
        <v>56</v>
      </c>
      <c r="I12" s="46">
        <v>248.67</v>
      </c>
    </row>
    <row r="13" spans="1:9" ht="15" customHeight="1">
      <c r="A13" s="37" t="s">
        <v>57</v>
      </c>
      <c r="B13" s="34">
        <v>60</v>
      </c>
      <c r="C13" s="38">
        <v>2991</v>
      </c>
      <c r="D13" s="34">
        <v>0</v>
      </c>
      <c r="E13" s="39">
        <v>0</v>
      </c>
      <c r="F13" s="34">
        <v>60</v>
      </c>
      <c r="G13" s="39">
        <v>2991</v>
      </c>
      <c r="H13" s="46" t="s">
        <v>58</v>
      </c>
      <c r="I13" s="46">
        <v>239.33</v>
      </c>
    </row>
    <row r="14" spans="1:9" ht="15" customHeight="1">
      <c r="A14" s="37" t="s">
        <v>59</v>
      </c>
      <c r="B14" s="34">
        <v>30</v>
      </c>
      <c r="C14" s="38">
        <v>1495.5</v>
      </c>
      <c r="D14" s="34">
        <v>0</v>
      </c>
      <c r="E14" s="39">
        <v>0</v>
      </c>
      <c r="F14" s="34">
        <v>30</v>
      </c>
      <c r="G14" s="39">
        <v>1495.5</v>
      </c>
      <c r="H14" s="46" t="s">
        <v>60</v>
      </c>
      <c r="I14" s="46">
        <v>360</v>
      </c>
    </row>
    <row r="15" spans="1:9" ht="15" customHeight="1">
      <c r="A15" s="37" t="s">
        <v>61</v>
      </c>
      <c r="B15" s="34">
        <v>62</v>
      </c>
      <c r="C15" s="38">
        <v>3091</v>
      </c>
      <c r="D15" s="34">
        <v>0</v>
      </c>
      <c r="E15" s="39">
        <v>0</v>
      </c>
      <c r="F15" s="34">
        <v>62</v>
      </c>
      <c r="G15" s="39">
        <v>3091</v>
      </c>
      <c r="H15" s="46" t="s">
        <v>62</v>
      </c>
      <c r="I15" s="46">
        <v>306.62</v>
      </c>
    </row>
    <row r="16" spans="1:9" ht="15" customHeight="1">
      <c r="A16" s="37" t="s">
        <v>63</v>
      </c>
      <c r="B16" s="34">
        <v>42</v>
      </c>
      <c r="C16" s="38">
        <v>2094</v>
      </c>
      <c r="D16" s="34">
        <v>0</v>
      </c>
      <c r="E16" s="39">
        <v>0</v>
      </c>
      <c r="F16" s="34">
        <v>42</v>
      </c>
      <c r="G16" s="39">
        <v>2094</v>
      </c>
      <c r="H16" s="46" t="s">
        <v>64</v>
      </c>
      <c r="I16" s="46">
        <v>298.82</v>
      </c>
    </row>
    <row r="17" spans="1:9" ht="15" customHeight="1">
      <c r="A17" s="37" t="s">
        <v>65</v>
      </c>
      <c r="B17" s="34">
        <v>10</v>
      </c>
      <c r="C17" s="38">
        <v>498.5</v>
      </c>
      <c r="D17" s="34">
        <v>0</v>
      </c>
      <c r="E17" s="39">
        <v>0</v>
      </c>
      <c r="F17" s="34">
        <v>10</v>
      </c>
      <c r="G17" s="39">
        <v>498.5</v>
      </c>
      <c r="H17" s="46" t="s">
        <v>66</v>
      </c>
      <c r="I17" s="46">
        <v>265</v>
      </c>
    </row>
    <row r="18" spans="1:9" ht="15" customHeight="1">
      <c r="A18" s="37" t="s">
        <v>67</v>
      </c>
      <c r="B18" s="34">
        <v>105</v>
      </c>
      <c r="C18" s="38">
        <v>5235</v>
      </c>
      <c r="D18" s="34">
        <v>0</v>
      </c>
      <c r="E18" s="39">
        <v>0</v>
      </c>
      <c r="F18" s="34">
        <v>105</v>
      </c>
      <c r="G18" s="39">
        <v>5235</v>
      </c>
      <c r="H18" s="46" t="s">
        <v>68</v>
      </c>
      <c r="I18" s="46">
        <v>256.28</v>
      </c>
    </row>
    <row r="19" spans="1:9" ht="15" customHeight="1">
      <c r="A19" s="37" t="s">
        <v>69</v>
      </c>
      <c r="B19" s="34">
        <v>10</v>
      </c>
      <c r="C19" s="38">
        <v>498.5</v>
      </c>
      <c r="D19" s="34">
        <v>0</v>
      </c>
      <c r="E19" s="39">
        <v>0</v>
      </c>
      <c r="F19" s="34">
        <v>10</v>
      </c>
      <c r="G19" s="39">
        <v>498.5</v>
      </c>
      <c r="H19" s="46" t="s">
        <v>70</v>
      </c>
      <c r="I19" s="46">
        <v>260</v>
      </c>
    </row>
    <row r="20" spans="1:9" ht="15" customHeight="1">
      <c r="A20" s="37" t="s">
        <v>71</v>
      </c>
      <c r="B20" s="34">
        <v>45</v>
      </c>
      <c r="C20" s="38">
        <v>2244</v>
      </c>
      <c r="D20" s="34">
        <v>10</v>
      </c>
      <c r="E20" s="39">
        <v>499.2</v>
      </c>
      <c r="F20" s="34">
        <v>55</v>
      </c>
      <c r="G20" s="39">
        <v>2743.2</v>
      </c>
      <c r="H20" s="46" t="s">
        <v>72</v>
      </c>
      <c r="I20" s="46">
        <v>232.27</v>
      </c>
    </row>
    <row r="21" spans="1:9" ht="15" customHeight="1">
      <c r="A21" s="37" t="s">
        <v>73</v>
      </c>
      <c r="B21" s="34">
        <v>100</v>
      </c>
      <c r="C21" s="38">
        <v>4985</v>
      </c>
      <c r="D21" s="34">
        <v>0</v>
      </c>
      <c r="E21" s="39">
        <v>0</v>
      </c>
      <c r="F21" s="34">
        <v>100</v>
      </c>
      <c r="G21" s="39">
        <v>4985</v>
      </c>
      <c r="H21" s="46" t="s">
        <v>74</v>
      </c>
      <c r="I21" s="46">
        <v>233.4</v>
      </c>
    </row>
    <row r="22" spans="1:9" ht="15" customHeight="1">
      <c r="A22" s="37" t="s">
        <v>75</v>
      </c>
      <c r="B22" s="34">
        <v>40</v>
      </c>
      <c r="C22" s="38">
        <v>1994</v>
      </c>
      <c r="D22" s="34">
        <v>10</v>
      </c>
      <c r="E22" s="39">
        <v>499.2</v>
      </c>
      <c r="F22" s="34">
        <v>50</v>
      </c>
      <c r="G22" s="39">
        <v>2493.2</v>
      </c>
      <c r="H22" s="46" t="s">
        <v>76</v>
      </c>
      <c r="I22" s="46">
        <v>241.87</v>
      </c>
    </row>
    <row r="23" spans="1:9" ht="15" customHeight="1">
      <c r="A23" s="37" t="s">
        <v>77</v>
      </c>
      <c r="B23" s="34">
        <v>42</v>
      </c>
      <c r="C23" s="38">
        <v>2094</v>
      </c>
      <c r="D23" s="34">
        <v>0</v>
      </c>
      <c r="E23" s="39">
        <v>0</v>
      </c>
      <c r="F23" s="34">
        <v>42</v>
      </c>
      <c r="G23" s="39">
        <v>2094</v>
      </c>
      <c r="H23" s="46" t="s">
        <v>78</v>
      </c>
      <c r="I23" s="46">
        <v>262.14</v>
      </c>
    </row>
    <row r="24" spans="1:9" ht="15" customHeight="1">
      <c r="A24" s="37" t="s">
        <v>79</v>
      </c>
      <c r="B24" s="40"/>
      <c r="C24" s="38">
        <v>0</v>
      </c>
      <c r="D24" s="34">
        <v>26</v>
      </c>
      <c r="E24" s="39">
        <v>1297</v>
      </c>
      <c r="F24" s="34">
        <v>26</v>
      </c>
      <c r="G24" s="39">
        <v>1297</v>
      </c>
      <c r="H24" s="46" t="s">
        <v>80</v>
      </c>
      <c r="I24" s="46">
        <v>264.41</v>
      </c>
    </row>
    <row r="25" spans="1:9" ht="15" customHeight="1">
      <c r="A25" s="37" t="s">
        <v>81</v>
      </c>
      <c r="B25" s="34">
        <v>20</v>
      </c>
      <c r="C25" s="38">
        <v>997</v>
      </c>
      <c r="D25" s="34">
        <v>0</v>
      </c>
      <c r="E25" s="39">
        <v>0</v>
      </c>
      <c r="F25" s="34">
        <v>20</v>
      </c>
      <c r="G25" s="39">
        <v>997</v>
      </c>
      <c r="H25" s="46" t="s">
        <v>82</v>
      </c>
      <c r="I25" s="46">
        <v>280.5</v>
      </c>
    </row>
    <row r="26" spans="1:9" ht="15" customHeight="1">
      <c r="A26" s="37" t="s">
        <v>83</v>
      </c>
      <c r="B26" s="34">
        <v>12</v>
      </c>
      <c r="C26" s="38">
        <v>598.5</v>
      </c>
      <c r="D26" s="34">
        <v>0</v>
      </c>
      <c r="E26" s="39">
        <v>0</v>
      </c>
      <c r="F26" s="34">
        <v>12</v>
      </c>
      <c r="G26" s="39">
        <v>598.5</v>
      </c>
      <c r="H26" s="46" t="s">
        <v>84</v>
      </c>
      <c r="I26" s="46">
        <v>225</v>
      </c>
    </row>
    <row r="27" spans="1:9" ht="15" customHeight="1">
      <c r="A27" s="37" t="s">
        <v>85</v>
      </c>
      <c r="B27" s="34">
        <v>20</v>
      </c>
      <c r="C27" s="38">
        <v>995.5</v>
      </c>
      <c r="D27" s="34">
        <v>0</v>
      </c>
      <c r="E27" s="39">
        <v>0</v>
      </c>
      <c r="F27" s="34">
        <v>20</v>
      </c>
      <c r="G27" s="39">
        <v>995.5</v>
      </c>
      <c r="H27" s="46" t="s">
        <v>86</v>
      </c>
      <c r="I27" s="46">
        <v>167.58</v>
      </c>
    </row>
    <row r="28" spans="1:9" ht="15" customHeight="1">
      <c r="A28" s="37" t="s">
        <v>87</v>
      </c>
      <c r="B28" s="34">
        <v>50</v>
      </c>
      <c r="C28" s="38">
        <v>2492.5</v>
      </c>
      <c r="D28" s="34">
        <v>0</v>
      </c>
      <c r="E28" s="39">
        <v>0</v>
      </c>
      <c r="F28" s="34">
        <v>50</v>
      </c>
      <c r="G28" s="39">
        <v>2492.5</v>
      </c>
      <c r="H28" s="46" t="s">
        <v>88</v>
      </c>
      <c r="I28" s="46">
        <v>281.8</v>
      </c>
    </row>
    <row r="29" spans="1:9" ht="15" customHeight="1">
      <c r="A29" s="37" t="s">
        <v>89</v>
      </c>
      <c r="B29" s="40"/>
      <c r="C29" s="38">
        <v>0</v>
      </c>
      <c r="D29" s="34">
        <v>10</v>
      </c>
      <c r="E29" s="39">
        <v>498.4</v>
      </c>
      <c r="F29" s="34">
        <v>10</v>
      </c>
      <c r="G29" s="39">
        <v>498.4</v>
      </c>
      <c r="H29" s="46">
        <v>84728</v>
      </c>
      <c r="I29" s="46">
        <v>170</v>
      </c>
    </row>
    <row r="30" spans="1:9" ht="15" customHeight="1">
      <c r="A30" s="37" t="s">
        <v>90</v>
      </c>
      <c r="B30" s="34">
        <v>43</v>
      </c>
      <c r="C30" s="38">
        <v>2144</v>
      </c>
      <c r="D30" s="34">
        <v>0</v>
      </c>
      <c r="E30" s="39">
        <v>0</v>
      </c>
      <c r="F30" s="34">
        <v>43</v>
      </c>
      <c r="G30" s="39">
        <v>2144</v>
      </c>
      <c r="H30" s="46" t="s">
        <v>91</v>
      </c>
      <c r="I30" s="46">
        <v>297.68</v>
      </c>
    </row>
    <row r="31" spans="1:9" ht="15" customHeight="1">
      <c r="A31" s="37" t="s">
        <v>92</v>
      </c>
      <c r="B31" s="34">
        <v>30</v>
      </c>
      <c r="C31" s="38">
        <v>1495.5</v>
      </c>
      <c r="D31" s="34">
        <v>0</v>
      </c>
      <c r="E31" s="39">
        <v>0</v>
      </c>
      <c r="F31" s="34">
        <v>30</v>
      </c>
      <c r="G31" s="39">
        <v>1495.5</v>
      </c>
      <c r="H31" s="46" t="s">
        <v>93</v>
      </c>
      <c r="I31" s="46">
        <v>254.33</v>
      </c>
    </row>
    <row r="32" spans="1:9" ht="15" customHeight="1">
      <c r="A32" s="37" t="s">
        <v>94</v>
      </c>
      <c r="B32" s="34">
        <v>45</v>
      </c>
      <c r="C32" s="38">
        <v>2244</v>
      </c>
      <c r="D32" s="34">
        <v>0</v>
      </c>
      <c r="E32" s="39">
        <v>0</v>
      </c>
      <c r="F32" s="34">
        <v>45</v>
      </c>
      <c r="G32" s="39">
        <v>2244</v>
      </c>
      <c r="H32" s="46" t="s">
        <v>95</v>
      </c>
      <c r="I32" s="46">
        <v>219.33</v>
      </c>
    </row>
    <row r="33" spans="1:9" ht="15" customHeight="1">
      <c r="A33" s="37" t="s">
        <v>96</v>
      </c>
      <c r="B33" s="34">
        <v>20</v>
      </c>
      <c r="C33" s="38">
        <v>997</v>
      </c>
      <c r="D33" s="34">
        <v>0</v>
      </c>
      <c r="E33" s="39">
        <v>0</v>
      </c>
      <c r="F33" s="34">
        <v>20</v>
      </c>
      <c r="G33" s="39">
        <v>997</v>
      </c>
      <c r="H33" s="46" t="s">
        <v>97</v>
      </c>
      <c r="I33" s="46">
        <v>235</v>
      </c>
    </row>
    <row r="34" spans="1:9" ht="15" customHeight="1">
      <c r="A34" s="37" t="s">
        <v>98</v>
      </c>
      <c r="B34" s="34">
        <v>100</v>
      </c>
      <c r="C34" s="38">
        <v>4985</v>
      </c>
      <c r="D34" s="34">
        <v>0</v>
      </c>
      <c r="E34" s="39">
        <v>0</v>
      </c>
      <c r="F34" s="34">
        <v>100</v>
      </c>
      <c r="G34" s="39">
        <v>4985</v>
      </c>
      <c r="H34" s="46">
        <v>1208862.5</v>
      </c>
      <c r="I34" s="46">
        <v>242.5</v>
      </c>
    </row>
    <row r="35" spans="1:9" ht="15" customHeight="1">
      <c r="A35" s="37" t="s">
        <v>99</v>
      </c>
      <c r="B35" s="34">
        <v>40</v>
      </c>
      <c r="C35" s="38">
        <v>1994</v>
      </c>
      <c r="D35" s="34">
        <v>135</v>
      </c>
      <c r="E35" s="39">
        <v>6736.4</v>
      </c>
      <c r="F35" s="34">
        <v>175</v>
      </c>
      <c r="G35" s="39">
        <v>8730.4</v>
      </c>
      <c r="H35" s="46" t="s">
        <v>100</v>
      </c>
      <c r="I35" s="46">
        <v>234.71</v>
      </c>
    </row>
    <row r="36" spans="1:9" ht="15" customHeight="1">
      <c r="A36" s="37" t="s">
        <v>101</v>
      </c>
      <c r="B36" s="34">
        <v>20</v>
      </c>
      <c r="C36" s="38">
        <v>997</v>
      </c>
      <c r="D36" s="34">
        <v>0</v>
      </c>
      <c r="E36" s="39">
        <v>0</v>
      </c>
      <c r="F36" s="34">
        <v>20</v>
      </c>
      <c r="G36" s="39">
        <v>997</v>
      </c>
      <c r="H36" s="46" t="s">
        <v>102</v>
      </c>
      <c r="I36" s="46">
        <v>154</v>
      </c>
    </row>
    <row r="37" spans="1:9" ht="15" customHeight="1">
      <c r="A37" s="37" t="s">
        <v>103</v>
      </c>
      <c r="B37" s="34">
        <v>10</v>
      </c>
      <c r="C37" s="38">
        <v>498.5</v>
      </c>
      <c r="D37" s="34">
        <v>0</v>
      </c>
      <c r="E37" s="39">
        <v>0</v>
      </c>
      <c r="F37" s="34">
        <v>10</v>
      </c>
      <c r="G37" s="39">
        <v>498.5</v>
      </c>
      <c r="H37" s="46" t="s">
        <v>104</v>
      </c>
      <c r="I37" s="46">
        <v>320</v>
      </c>
    </row>
    <row r="38" spans="1:9" ht="15" customHeight="1">
      <c r="A38" s="37" t="s">
        <v>105</v>
      </c>
      <c r="B38" s="34">
        <v>60</v>
      </c>
      <c r="C38" s="38">
        <v>2994</v>
      </c>
      <c r="D38" s="34">
        <v>0</v>
      </c>
      <c r="E38" s="39">
        <v>0</v>
      </c>
      <c r="F38" s="34">
        <v>60</v>
      </c>
      <c r="G38" s="39">
        <v>2994</v>
      </c>
      <c r="H38" s="46" t="s">
        <v>106</v>
      </c>
      <c r="I38" s="46">
        <v>187.64</v>
      </c>
    </row>
    <row r="39" spans="1:9" ht="15" customHeight="1">
      <c r="A39" s="37" t="s">
        <v>107</v>
      </c>
      <c r="B39" s="34">
        <v>10</v>
      </c>
      <c r="C39" s="38">
        <v>498.5</v>
      </c>
      <c r="D39" s="34">
        <v>0</v>
      </c>
      <c r="E39" s="39">
        <v>0</v>
      </c>
      <c r="F39" s="34">
        <v>10</v>
      </c>
      <c r="G39" s="39">
        <v>498.5</v>
      </c>
      <c r="H39" s="46" t="s">
        <v>108</v>
      </c>
      <c r="I39" s="46">
        <v>360</v>
      </c>
    </row>
    <row r="40" spans="1:9" ht="15" customHeight="1">
      <c r="A40" s="37" t="s">
        <v>14</v>
      </c>
      <c r="B40" s="34">
        <v>1076</v>
      </c>
      <c r="C40" s="38">
        <v>53644</v>
      </c>
      <c r="D40" s="34">
        <v>191</v>
      </c>
      <c r="E40" s="39">
        <v>9530.2</v>
      </c>
      <c r="F40" s="34">
        <v>1267</v>
      </c>
      <c r="G40" s="39">
        <v>63174.2</v>
      </c>
      <c r="H40" s="46" t="s">
        <v>109</v>
      </c>
      <c r="I40" s="46">
        <v>249.45</v>
      </c>
    </row>
    <row r="41" spans="1:9" ht="15" customHeight="1">
      <c r="A41" s="41"/>
      <c r="B41" s="42"/>
      <c r="C41" s="43"/>
      <c r="D41" s="42"/>
      <c r="E41" s="44"/>
      <c r="F41" s="42"/>
      <c r="G41" s="44"/>
      <c r="H41" s="47"/>
      <c r="I41" s="47"/>
    </row>
    <row r="42" spans="1:9" ht="15" customHeight="1">
      <c r="A42" s="19" t="s">
        <v>117</v>
      </c>
      <c r="B42" s="49"/>
      <c r="C42" s="50"/>
      <c r="D42" s="49"/>
      <c r="E42" s="51"/>
      <c r="F42" s="49"/>
      <c r="G42" s="50"/>
      <c r="H42" s="47"/>
      <c r="I42" s="47"/>
    </row>
    <row r="43" spans="1:9" ht="15" customHeight="1">
      <c r="A43" s="19" t="s">
        <v>118</v>
      </c>
      <c r="B43" s="49"/>
      <c r="C43" s="50"/>
      <c r="D43" s="49"/>
      <c r="E43" s="51"/>
      <c r="F43" s="49"/>
      <c r="G43" s="50" t="s">
        <v>119</v>
      </c>
      <c r="H43" s="47"/>
      <c r="I43" s="47"/>
    </row>
    <row r="44" spans="1:9" ht="15" customHeight="1">
      <c r="A44" s="19" t="s">
        <v>120</v>
      </c>
      <c r="B44" s="49"/>
      <c r="C44" s="50"/>
      <c r="D44" s="49"/>
      <c r="E44" s="52"/>
      <c r="F44" s="52"/>
      <c r="G44" s="53" t="s">
        <v>121</v>
      </c>
      <c r="H44" s="47"/>
      <c r="I44" s="47"/>
    </row>
    <row r="45" spans="1:9" ht="15" customHeight="1">
      <c r="A45" s="19" t="s">
        <v>122</v>
      </c>
      <c r="B45" s="49"/>
      <c r="C45" s="50"/>
      <c r="D45" s="49"/>
      <c r="E45" s="51"/>
      <c r="F45" s="49"/>
      <c r="G45" s="50"/>
      <c r="H45" s="47"/>
      <c r="I45" s="47"/>
    </row>
    <row r="46" spans="1:9" ht="15" customHeight="1">
      <c r="A46" s="19" t="s">
        <v>123</v>
      </c>
      <c r="B46" s="49"/>
      <c r="C46" s="50"/>
      <c r="D46" s="49"/>
      <c r="E46" s="51"/>
      <c r="F46" s="49"/>
      <c r="G46" s="50"/>
      <c r="H46" s="47"/>
      <c r="I46" s="47"/>
    </row>
    <row r="47" spans="1:9" ht="15" customHeight="1">
      <c r="A47" s="41"/>
      <c r="B47" s="42"/>
      <c r="C47" s="43"/>
      <c r="D47" s="42"/>
      <c r="E47" s="44"/>
      <c r="F47" s="42"/>
      <c r="G47" s="44"/>
      <c r="H47" s="47"/>
      <c r="I47" s="47"/>
    </row>
    <row r="48" spans="1:9" ht="15" customHeight="1">
      <c r="A48" s="41"/>
      <c r="B48" s="42"/>
      <c r="C48" s="43"/>
      <c r="D48" s="42"/>
      <c r="E48" s="44"/>
      <c r="F48" s="42"/>
      <c r="G48" s="44"/>
      <c r="H48" s="47"/>
      <c r="I48" s="47"/>
    </row>
    <row r="49" spans="1:9" ht="15" customHeight="1">
      <c r="A49" s="41"/>
      <c r="B49" s="42"/>
      <c r="C49" s="43"/>
      <c r="D49" s="42"/>
      <c r="E49" s="44"/>
      <c r="F49" s="42"/>
      <c r="G49" s="44"/>
      <c r="H49" s="47"/>
      <c r="I49" s="47"/>
    </row>
    <row r="50" spans="1:9" ht="15" customHeight="1">
      <c r="A50" s="41"/>
      <c r="B50" s="42"/>
      <c r="C50" s="43"/>
      <c r="D50" s="42"/>
      <c r="E50" s="44"/>
      <c r="F50" s="42"/>
      <c r="G50" s="44"/>
      <c r="H50" s="47"/>
      <c r="I50" s="47"/>
    </row>
    <row r="51" spans="1:9" ht="15" customHeight="1">
      <c r="A51" s="41"/>
      <c r="B51" s="42"/>
      <c r="C51" s="43"/>
      <c r="D51" s="42"/>
      <c r="E51" s="44"/>
      <c r="F51" s="42"/>
      <c r="G51" s="44"/>
      <c r="H51" s="47"/>
      <c r="I51" s="47"/>
    </row>
    <row r="52" spans="1:9" ht="15" customHeight="1">
      <c r="A52" s="41"/>
      <c r="B52" s="42"/>
      <c r="C52" s="43"/>
      <c r="D52" s="42"/>
      <c r="E52" s="44"/>
      <c r="F52" s="42"/>
      <c r="G52" s="44"/>
      <c r="H52" s="47"/>
      <c r="I52" s="47"/>
    </row>
    <row r="53" spans="1:9" ht="15" customHeight="1">
      <c r="A53" s="41"/>
      <c r="B53" s="42"/>
      <c r="C53" s="43"/>
      <c r="D53" s="42"/>
      <c r="E53" s="44"/>
      <c r="F53" s="42"/>
      <c r="G53" s="44"/>
      <c r="H53" s="47"/>
      <c r="I53" s="47"/>
    </row>
    <row r="54" spans="1:9" ht="15" customHeight="1">
      <c r="A54" s="41"/>
      <c r="B54" s="42"/>
      <c r="C54" s="43"/>
      <c r="D54" s="42"/>
      <c r="E54" s="44"/>
      <c r="F54" s="42"/>
      <c r="G54" s="44"/>
      <c r="H54" s="47"/>
      <c r="I54" s="47"/>
    </row>
    <row r="55" spans="1:9" ht="15" customHeight="1">
      <c r="A55" s="41"/>
      <c r="B55" s="42"/>
      <c r="C55" s="43"/>
      <c r="D55" s="42"/>
      <c r="E55" s="44"/>
      <c r="F55" s="42"/>
      <c r="G55" s="44"/>
      <c r="H55" s="47"/>
      <c r="I55" s="47"/>
    </row>
    <row r="56" spans="1:9" ht="15" customHeight="1">
      <c r="A56" s="41"/>
      <c r="B56" s="42"/>
      <c r="C56" s="43"/>
      <c r="D56" s="42"/>
      <c r="E56" s="44"/>
      <c r="F56" s="42"/>
      <c r="G56" s="44"/>
      <c r="H56" s="47"/>
      <c r="I56" s="47"/>
    </row>
    <row r="57" spans="1:9" ht="15" customHeight="1">
      <c r="A57" s="41"/>
      <c r="B57" s="42"/>
      <c r="C57" s="43"/>
      <c r="D57" s="42"/>
      <c r="E57" s="44"/>
      <c r="F57" s="42"/>
      <c r="G57" s="44"/>
      <c r="H57" s="47"/>
      <c r="I57" s="47"/>
    </row>
    <row r="58" spans="1:9" ht="15" customHeight="1">
      <c r="A58" s="41"/>
      <c r="B58" s="42"/>
      <c r="C58" s="43"/>
      <c r="D58" s="42"/>
      <c r="E58" s="44"/>
      <c r="F58" s="42"/>
      <c r="G58" s="44"/>
      <c r="H58" s="47"/>
      <c r="I58" s="47"/>
    </row>
    <row r="59" spans="1:9" ht="15" customHeight="1">
      <c r="A59" s="41"/>
      <c r="B59" s="42"/>
      <c r="C59" s="43"/>
      <c r="D59" s="42"/>
      <c r="E59" s="44"/>
      <c r="F59" s="42"/>
      <c r="G59" s="44"/>
      <c r="H59" s="47"/>
      <c r="I59" s="47"/>
    </row>
    <row r="60" spans="1:9" ht="15" customHeight="1">
      <c r="A60" s="41"/>
      <c r="B60" s="42"/>
      <c r="C60" s="43"/>
      <c r="D60" s="42"/>
      <c r="E60" s="44"/>
      <c r="F60" s="42"/>
      <c r="G60" s="44"/>
      <c r="H60" s="47"/>
      <c r="I60" s="47"/>
    </row>
    <row r="61" spans="1:9" ht="15" customHeight="1">
      <c r="A61" s="41"/>
      <c r="B61" s="42"/>
      <c r="C61" s="43"/>
      <c r="D61" s="42"/>
      <c r="E61" s="44"/>
      <c r="F61" s="42"/>
      <c r="G61" s="44"/>
      <c r="H61" s="47"/>
      <c r="I61" s="47"/>
    </row>
    <row r="62" spans="1:9" ht="15" customHeight="1">
      <c r="A62" s="41"/>
      <c r="B62" s="42"/>
      <c r="C62" s="43"/>
      <c r="D62" s="42"/>
      <c r="E62" s="44"/>
      <c r="F62" s="42"/>
      <c r="G62" s="44"/>
      <c r="H62" s="47"/>
      <c r="I62" s="47"/>
    </row>
    <row r="63" spans="1:9" ht="15" customHeight="1">
      <c r="A63" s="41"/>
      <c r="B63" s="42"/>
      <c r="C63" s="43"/>
      <c r="D63" s="42"/>
      <c r="E63" s="44"/>
      <c r="F63" s="42"/>
      <c r="G63" s="44"/>
      <c r="H63" s="47"/>
      <c r="I63" s="47"/>
    </row>
    <row r="64" spans="1:9" ht="15" customHeight="1">
      <c r="A64" s="41"/>
      <c r="B64" s="42"/>
      <c r="C64" s="43"/>
      <c r="D64" s="42"/>
      <c r="E64" s="44"/>
      <c r="F64" s="42"/>
      <c r="G64" s="44"/>
      <c r="H64" s="47"/>
      <c r="I64" s="47"/>
    </row>
    <row r="65" spans="1:9" ht="15" customHeight="1">
      <c r="A65" s="41"/>
      <c r="B65" s="42"/>
      <c r="C65" s="43"/>
      <c r="D65" s="42"/>
      <c r="E65" s="44"/>
      <c r="F65" s="42"/>
      <c r="G65" s="44"/>
      <c r="H65" s="47"/>
      <c r="I65" s="47"/>
    </row>
    <row r="66" spans="1:9" ht="15" customHeight="1">
      <c r="A66" s="41"/>
      <c r="B66" s="42"/>
      <c r="C66" s="43"/>
      <c r="D66" s="42"/>
      <c r="E66" s="44"/>
      <c r="F66" s="42"/>
      <c r="G66" s="44"/>
      <c r="H66" s="47"/>
      <c r="I66" s="47"/>
    </row>
    <row r="67" spans="1:9" ht="15" customHeight="1">
      <c r="A67" s="41"/>
      <c r="B67" s="42"/>
      <c r="C67" s="43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3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3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3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3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3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3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3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3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3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3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3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3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3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3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3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3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3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3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3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3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3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3"/>
      <c r="D89" s="42"/>
      <c r="E89" s="44"/>
      <c r="F89" s="42"/>
      <c r="G89" s="44"/>
      <c r="H89" s="47"/>
      <c r="I89" s="47"/>
    </row>
    <row r="90" spans="1:9" ht="15" customHeight="1">
      <c r="A90" s="41"/>
      <c r="B90" s="42"/>
      <c r="C90" s="43"/>
      <c r="D90" s="42"/>
      <c r="E90" s="44"/>
      <c r="F90" s="42"/>
      <c r="G90" s="44"/>
      <c r="H90" s="47"/>
      <c r="I90" s="47"/>
    </row>
    <row r="91" spans="1:9" ht="15" customHeight="1">
      <c r="A91" s="41"/>
      <c r="B91" s="42"/>
      <c r="C91" s="43"/>
      <c r="D91" s="42"/>
      <c r="E91" s="44"/>
      <c r="F91" s="42"/>
      <c r="G91" s="44"/>
      <c r="H91" s="47"/>
      <c r="I91" s="47"/>
    </row>
    <row r="92" spans="1:9" ht="15" customHeight="1">
      <c r="A92" s="41"/>
      <c r="B92" s="42"/>
      <c r="C92" s="43"/>
      <c r="D92" s="42"/>
      <c r="E92" s="44"/>
      <c r="F92" s="42"/>
      <c r="G92" s="44"/>
      <c r="H92" s="47"/>
      <c r="I92" s="47"/>
    </row>
    <row r="93" spans="1:9" ht="15" customHeight="1">
      <c r="A93" s="41"/>
      <c r="B93" s="42"/>
      <c r="C93" s="43"/>
      <c r="D93" s="42"/>
      <c r="E93" s="44"/>
      <c r="F93" s="42"/>
      <c r="G93" s="44"/>
      <c r="H93" s="47"/>
      <c r="I93" s="47"/>
    </row>
    <row r="94" spans="1:9" ht="15" customHeight="1">
      <c r="A94" s="41"/>
      <c r="B94" s="42"/>
      <c r="C94" s="43"/>
      <c r="D94" s="42"/>
      <c r="E94" s="44"/>
      <c r="F94" s="42"/>
      <c r="G94" s="44"/>
      <c r="H94" s="47"/>
      <c r="I94" s="47"/>
    </row>
    <row r="95" spans="1:9" ht="15" customHeight="1">
      <c r="A95" s="41"/>
      <c r="B95" s="42"/>
      <c r="C95" s="43"/>
      <c r="D95" s="42"/>
      <c r="E95" s="44"/>
      <c r="F95" s="42"/>
      <c r="G95" s="44"/>
      <c r="H95" s="47"/>
      <c r="I95" s="47"/>
    </row>
  </sheetData>
  <sheetProtection/>
  <printOptions/>
  <pageMargins left="0.7" right="0.7" top="0.75" bottom="0.75" header="0.3" footer="0.3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2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9.140625" style="378" customWidth="1"/>
    <col min="2" max="2" width="9.421875" style="31" customWidth="1"/>
    <col min="3" max="3" width="12.7109375" style="360" customWidth="1"/>
    <col min="4" max="4" width="7.7109375" style="31" customWidth="1"/>
    <col min="5" max="5" width="12.7109375" style="244" customWidth="1"/>
    <col min="6" max="6" width="9.57421875" style="31" customWidth="1"/>
    <col min="7" max="7" width="12.7109375" style="360" customWidth="1"/>
    <col min="8" max="8" width="18.140625" style="48" customWidth="1"/>
    <col min="9" max="9" width="8.57421875" style="48" customWidth="1"/>
    <col min="10" max="10" width="8.8515625" style="378" customWidth="1"/>
    <col min="11" max="11" width="19.57421875" style="378" customWidth="1"/>
    <col min="12" max="12" width="8.8515625" style="378" customWidth="1"/>
    <col min="13" max="13" width="10.00390625" style="378" customWidth="1"/>
    <col min="14" max="14" width="8.8515625" style="378" customWidth="1"/>
    <col min="15" max="15" width="12.7109375" style="378" bestFit="1" customWidth="1"/>
    <col min="16" max="16" width="13.7109375" style="378" bestFit="1" customWidth="1"/>
    <col min="17" max="16384" width="8.8515625" style="378" customWidth="1"/>
  </cols>
  <sheetData>
    <row r="1" spans="1:10" ht="18" customHeight="1">
      <c r="A1" s="683" t="s">
        <v>1558</v>
      </c>
      <c r="B1" s="684"/>
      <c r="C1" s="685"/>
      <c r="D1" s="684"/>
      <c r="E1" s="686"/>
      <c r="F1" s="684"/>
      <c r="G1" s="685"/>
      <c r="H1" s="687"/>
      <c r="I1" s="687"/>
      <c r="J1" s="262"/>
    </row>
    <row r="2" spans="1:10" ht="18" customHeight="1">
      <c r="A2" s="683" t="s">
        <v>1690</v>
      </c>
      <c r="B2" s="684"/>
      <c r="C2" s="685"/>
      <c r="D2" s="684"/>
      <c r="E2" s="686"/>
      <c r="F2" s="684"/>
      <c r="G2" s="685"/>
      <c r="H2" s="687"/>
      <c r="I2" s="687"/>
      <c r="J2" s="262"/>
    </row>
    <row r="3" spans="1:10" ht="18" customHeight="1">
      <c r="A3" s="683"/>
      <c r="B3" s="684"/>
      <c r="C3" s="685"/>
      <c r="D3" s="684"/>
      <c r="E3" s="689" t="s">
        <v>113</v>
      </c>
      <c r="F3" s="684"/>
      <c r="G3" s="685"/>
      <c r="H3" s="687"/>
      <c r="I3" s="687"/>
      <c r="J3" s="262"/>
    </row>
    <row r="4" spans="1:10" ht="18" customHeight="1">
      <c r="A4" s="690" t="s">
        <v>1689</v>
      </c>
      <c r="B4" s="691"/>
      <c r="C4" s="692"/>
      <c r="D4" s="691"/>
      <c r="E4" s="693"/>
      <c r="F4" s="691"/>
      <c r="G4" s="692"/>
      <c r="H4" s="694"/>
      <c r="I4" s="694"/>
      <c r="J4" s="262"/>
    </row>
    <row r="5" spans="1:10" ht="18" customHeight="1">
      <c r="A5" s="262"/>
      <c r="B5" s="695" t="s">
        <v>45</v>
      </c>
      <c r="C5" s="696"/>
      <c r="D5" s="695" t="s">
        <v>46</v>
      </c>
      <c r="E5" s="696"/>
      <c r="F5" s="695"/>
      <c r="G5" s="697" t="s">
        <v>47</v>
      </c>
      <c r="H5" s="698"/>
      <c r="I5" s="698"/>
      <c r="J5" s="262"/>
    </row>
    <row r="6" spans="1:10" ht="18" customHeight="1">
      <c r="A6" s="699" t="s">
        <v>461</v>
      </c>
      <c r="B6" s="700" t="s">
        <v>49</v>
      </c>
      <c r="C6" s="701" t="s">
        <v>50</v>
      </c>
      <c r="D6" s="700" t="s">
        <v>49</v>
      </c>
      <c r="E6" s="701" t="s">
        <v>50</v>
      </c>
      <c r="F6" s="700" t="s">
        <v>49</v>
      </c>
      <c r="G6" s="701" t="s">
        <v>50</v>
      </c>
      <c r="H6" s="702" t="s">
        <v>51</v>
      </c>
      <c r="I6" s="702" t="s">
        <v>52</v>
      </c>
      <c r="J6" s="262"/>
    </row>
    <row r="7" spans="1:10" ht="18" customHeight="1">
      <c r="A7" s="780" t="s">
        <v>71</v>
      </c>
      <c r="B7" s="781">
        <v>320</v>
      </c>
      <c r="C7" s="785">
        <v>15926.5</v>
      </c>
      <c r="D7" s="781">
        <v>5</v>
      </c>
      <c r="E7" s="785">
        <v>249.5</v>
      </c>
      <c r="F7" s="781">
        <v>325</v>
      </c>
      <c r="G7" s="785">
        <v>16176</v>
      </c>
      <c r="H7" s="786" t="s">
        <v>1634</v>
      </c>
      <c r="I7" s="786">
        <v>101.37</v>
      </c>
      <c r="J7" s="262"/>
    </row>
    <row r="8" spans="1:10" ht="18" customHeight="1">
      <c r="A8" s="780" t="s">
        <v>578</v>
      </c>
      <c r="B8" s="787">
        <v>80</v>
      </c>
      <c r="C8" s="788">
        <v>3979</v>
      </c>
      <c r="D8" s="787">
        <v>0</v>
      </c>
      <c r="E8" s="788">
        <v>0</v>
      </c>
      <c r="F8" s="787">
        <v>80</v>
      </c>
      <c r="G8" s="788">
        <v>3979</v>
      </c>
      <c r="H8" s="789" t="s">
        <v>1680</v>
      </c>
      <c r="I8" s="789">
        <v>76.87</v>
      </c>
      <c r="J8" s="262"/>
    </row>
    <row r="9" spans="1:11" ht="18" customHeight="1">
      <c r="A9" s="262" t="s">
        <v>14</v>
      </c>
      <c r="B9" s="703">
        <f aca="true" t="shared" si="0" ref="B9:G9">SUM(B7:B8)</f>
        <v>400</v>
      </c>
      <c r="C9" s="704">
        <f t="shared" si="0"/>
        <v>19905.5</v>
      </c>
      <c r="D9" s="703">
        <f t="shared" si="0"/>
        <v>5</v>
      </c>
      <c r="E9" s="704">
        <f t="shared" si="0"/>
        <v>249.5</v>
      </c>
      <c r="F9" s="703">
        <f t="shared" si="0"/>
        <v>405</v>
      </c>
      <c r="G9" s="704">
        <f t="shared" si="0"/>
        <v>20155</v>
      </c>
      <c r="H9" s="705">
        <v>1945578.5</v>
      </c>
      <c r="I9" s="705">
        <f>H9/G9</f>
        <v>96.53081121309849</v>
      </c>
      <c r="J9" s="262"/>
      <c r="K9" s="779"/>
    </row>
    <row r="10" spans="1:11" ht="18" customHeight="1">
      <c r="A10" s="699" t="s">
        <v>462</v>
      </c>
      <c r="B10" s="700" t="s">
        <v>49</v>
      </c>
      <c r="C10" s="701" t="s">
        <v>50</v>
      </c>
      <c r="D10" s="700" t="s">
        <v>49</v>
      </c>
      <c r="E10" s="701" t="s">
        <v>50</v>
      </c>
      <c r="F10" s="700" t="s">
        <v>49</v>
      </c>
      <c r="G10" s="701" t="s">
        <v>50</v>
      </c>
      <c r="H10" s="702" t="s">
        <v>51</v>
      </c>
      <c r="I10" s="702" t="s">
        <v>52</v>
      </c>
      <c r="J10" s="262"/>
      <c r="K10" s="375"/>
    </row>
    <row r="11" spans="1:10" ht="18" customHeight="1">
      <c r="A11" s="780" t="s">
        <v>318</v>
      </c>
      <c r="B11" s="781">
        <v>231</v>
      </c>
      <c r="C11" s="785">
        <v>11526.5</v>
      </c>
      <c r="D11" s="781">
        <v>0</v>
      </c>
      <c r="E11" s="785">
        <v>0</v>
      </c>
      <c r="F11" s="781">
        <v>231</v>
      </c>
      <c r="G11" s="785">
        <v>11526.5</v>
      </c>
      <c r="H11" s="786" t="s">
        <v>1598</v>
      </c>
      <c r="I11" s="786">
        <v>144.34</v>
      </c>
      <c r="J11" s="262"/>
    </row>
    <row r="12" spans="1:11" ht="18" customHeight="1">
      <c r="A12" s="780" t="s">
        <v>319</v>
      </c>
      <c r="B12" s="781">
        <v>767</v>
      </c>
      <c r="C12" s="785">
        <v>38233.5</v>
      </c>
      <c r="D12" s="781">
        <v>0</v>
      </c>
      <c r="E12" s="785">
        <v>0</v>
      </c>
      <c r="F12" s="781">
        <v>767</v>
      </c>
      <c r="G12" s="785">
        <v>38233.5</v>
      </c>
      <c r="H12" s="786" t="s">
        <v>1599</v>
      </c>
      <c r="I12" s="786">
        <v>178.66</v>
      </c>
      <c r="J12" s="262"/>
      <c r="K12" s="779"/>
    </row>
    <row r="13" spans="1:10" ht="18" customHeight="1">
      <c r="A13" s="780" t="s">
        <v>53</v>
      </c>
      <c r="B13" s="782">
        <v>23090</v>
      </c>
      <c r="C13" s="785" t="s">
        <v>1600</v>
      </c>
      <c r="D13" s="781">
        <v>1138</v>
      </c>
      <c r="E13" s="785">
        <v>56807.9</v>
      </c>
      <c r="F13" s="782">
        <v>24228</v>
      </c>
      <c r="G13" s="785" t="s">
        <v>1601</v>
      </c>
      <c r="H13" s="786" t="s">
        <v>1602</v>
      </c>
      <c r="I13" s="786">
        <v>173.81</v>
      </c>
      <c r="J13" s="262"/>
    </row>
    <row r="14" spans="1:10" ht="18" customHeight="1">
      <c r="A14" s="780" t="s">
        <v>572</v>
      </c>
      <c r="B14" s="781">
        <v>300</v>
      </c>
      <c r="C14" s="785">
        <v>14968.5</v>
      </c>
      <c r="D14" s="781">
        <v>40</v>
      </c>
      <c r="E14" s="785">
        <v>1996.8</v>
      </c>
      <c r="F14" s="781">
        <v>340</v>
      </c>
      <c r="G14" s="785">
        <v>16965.3</v>
      </c>
      <c r="H14" s="786" t="s">
        <v>1603</v>
      </c>
      <c r="I14" s="786">
        <v>183.43</v>
      </c>
      <c r="J14" s="262"/>
    </row>
    <row r="15" spans="1:10" ht="18" customHeight="1">
      <c r="A15" s="780" t="s">
        <v>497</v>
      </c>
      <c r="B15" s="781">
        <v>100</v>
      </c>
      <c r="C15" s="785">
        <v>4968.5</v>
      </c>
      <c r="D15" s="781">
        <v>0</v>
      </c>
      <c r="E15" s="785">
        <v>0</v>
      </c>
      <c r="F15" s="781">
        <v>100</v>
      </c>
      <c r="G15" s="785">
        <v>4968.5</v>
      </c>
      <c r="H15" s="786" t="s">
        <v>1604</v>
      </c>
      <c r="I15" s="786">
        <v>112.3</v>
      </c>
      <c r="J15" s="262"/>
    </row>
    <row r="16" spans="1:10" ht="18" customHeight="1">
      <c r="A16" s="780" t="s">
        <v>322</v>
      </c>
      <c r="B16" s="781">
        <v>847</v>
      </c>
      <c r="C16" s="785">
        <v>42184</v>
      </c>
      <c r="D16" s="781">
        <v>458</v>
      </c>
      <c r="E16" s="785">
        <v>22824.2</v>
      </c>
      <c r="F16" s="782">
        <v>1305</v>
      </c>
      <c r="G16" s="785">
        <v>65008.2</v>
      </c>
      <c r="H16" s="786" t="s">
        <v>1605</v>
      </c>
      <c r="I16" s="786">
        <v>165.57</v>
      </c>
      <c r="J16" s="262"/>
    </row>
    <row r="17" spans="1:10" ht="18" customHeight="1">
      <c r="A17" s="780" t="s">
        <v>55</v>
      </c>
      <c r="B17" s="781">
        <v>391</v>
      </c>
      <c r="C17" s="785">
        <v>19515</v>
      </c>
      <c r="D17" s="781">
        <v>0</v>
      </c>
      <c r="E17" s="785">
        <v>0</v>
      </c>
      <c r="F17" s="781">
        <v>391</v>
      </c>
      <c r="G17" s="785">
        <v>19515</v>
      </c>
      <c r="H17" s="786" t="s">
        <v>1606</v>
      </c>
      <c r="I17" s="786">
        <v>171.07</v>
      </c>
      <c r="J17" s="262"/>
    </row>
    <row r="18" spans="1:10" ht="18" customHeight="1">
      <c r="A18" s="780" t="s">
        <v>168</v>
      </c>
      <c r="B18" s="781">
        <v>237</v>
      </c>
      <c r="C18" s="785">
        <v>11809.5</v>
      </c>
      <c r="D18" s="781">
        <v>0</v>
      </c>
      <c r="E18" s="785">
        <v>0</v>
      </c>
      <c r="F18" s="781">
        <v>237</v>
      </c>
      <c r="G18" s="785">
        <v>11809.5</v>
      </c>
      <c r="H18" s="786" t="s">
        <v>1607</v>
      </c>
      <c r="I18" s="786">
        <v>245.38</v>
      </c>
      <c r="J18" s="262"/>
    </row>
    <row r="19" spans="1:10" ht="18" customHeight="1">
      <c r="A19" s="780" t="s">
        <v>469</v>
      </c>
      <c r="B19" s="783"/>
      <c r="C19" s="785">
        <v>0</v>
      </c>
      <c r="D19" s="781">
        <v>496</v>
      </c>
      <c r="E19" s="785">
        <v>24745</v>
      </c>
      <c r="F19" s="781">
        <v>496</v>
      </c>
      <c r="G19" s="785">
        <v>24745</v>
      </c>
      <c r="H19" s="786" t="s">
        <v>1608</v>
      </c>
      <c r="I19" s="786">
        <v>158.22</v>
      </c>
      <c r="J19" s="262"/>
    </row>
    <row r="20" spans="1:10" ht="18" customHeight="1">
      <c r="A20" s="780" t="s">
        <v>128</v>
      </c>
      <c r="B20" s="782">
        <v>1312</v>
      </c>
      <c r="C20" s="785">
        <v>65373</v>
      </c>
      <c r="D20" s="781">
        <v>809</v>
      </c>
      <c r="E20" s="785">
        <v>40363.9</v>
      </c>
      <c r="F20" s="782">
        <v>2121</v>
      </c>
      <c r="G20" s="785" t="s">
        <v>1609</v>
      </c>
      <c r="H20" s="786" t="s">
        <v>1610</v>
      </c>
      <c r="I20" s="786">
        <v>164.79</v>
      </c>
      <c r="J20" s="262"/>
    </row>
    <row r="21" spans="1:10" ht="18" customHeight="1">
      <c r="A21" s="780" t="s">
        <v>171</v>
      </c>
      <c r="B21" s="781">
        <f>686+25</f>
        <v>711</v>
      </c>
      <c r="C21" s="785">
        <f>34214.5+1247</f>
        <v>35461.5</v>
      </c>
      <c r="D21" s="781">
        <f>443+30</f>
        <v>473</v>
      </c>
      <c r="E21" s="785">
        <f>22104.5+1496.1</f>
        <v>23600.6</v>
      </c>
      <c r="F21" s="782">
        <f>1129+55</f>
        <v>1184</v>
      </c>
      <c r="G21" s="785">
        <f>56319+2743.1</f>
        <v>59062.1</v>
      </c>
      <c r="H21" s="786">
        <f>9876758+442630.3</f>
        <v>10319388.3</v>
      </c>
      <c r="I21" s="786">
        <f>H21/G21</f>
        <v>174.72098520032307</v>
      </c>
      <c r="J21" s="262"/>
    </row>
    <row r="22" spans="1:10" ht="18" customHeight="1">
      <c r="A22" s="780" t="s">
        <v>987</v>
      </c>
      <c r="B22" s="781">
        <v>30</v>
      </c>
      <c r="C22" s="785">
        <v>1495.5</v>
      </c>
      <c r="D22" s="781">
        <v>5</v>
      </c>
      <c r="E22" s="785">
        <v>249.2</v>
      </c>
      <c r="F22" s="781">
        <v>35</v>
      </c>
      <c r="G22" s="785">
        <v>1744.7</v>
      </c>
      <c r="H22" s="786" t="s">
        <v>1611</v>
      </c>
      <c r="I22" s="786">
        <v>188.43</v>
      </c>
      <c r="J22" s="262"/>
    </row>
    <row r="23" spans="1:10" ht="18" customHeight="1">
      <c r="A23" s="780" t="s">
        <v>173</v>
      </c>
      <c r="B23" s="781">
        <v>23</v>
      </c>
      <c r="C23" s="785">
        <v>1144</v>
      </c>
      <c r="D23" s="781">
        <v>137</v>
      </c>
      <c r="E23" s="785">
        <v>6832.8</v>
      </c>
      <c r="F23" s="781">
        <v>160</v>
      </c>
      <c r="G23" s="785">
        <v>7976.8</v>
      </c>
      <c r="H23" s="786" t="s">
        <v>1612</v>
      </c>
      <c r="I23" s="786">
        <v>167.69</v>
      </c>
      <c r="J23" s="262"/>
    </row>
    <row r="24" spans="1:10" ht="18" customHeight="1">
      <c r="A24" s="780" t="s">
        <v>471</v>
      </c>
      <c r="B24" s="781">
        <v>41</v>
      </c>
      <c r="C24" s="785">
        <v>2045.5</v>
      </c>
      <c r="D24" s="781">
        <v>0</v>
      </c>
      <c r="E24" s="785">
        <v>0</v>
      </c>
      <c r="F24" s="781">
        <v>41</v>
      </c>
      <c r="G24" s="785">
        <v>2045.5</v>
      </c>
      <c r="H24" s="786" t="s">
        <v>1613</v>
      </c>
      <c r="I24" s="786">
        <v>272.89</v>
      </c>
      <c r="J24" s="262"/>
    </row>
    <row r="25" spans="1:10" ht="18" customHeight="1">
      <c r="A25" s="780" t="s">
        <v>1399</v>
      </c>
      <c r="B25" s="783"/>
      <c r="C25" s="785">
        <v>0</v>
      </c>
      <c r="D25" s="781">
        <v>40</v>
      </c>
      <c r="E25" s="785">
        <v>1996</v>
      </c>
      <c r="F25" s="781">
        <v>40</v>
      </c>
      <c r="G25" s="785">
        <v>1996</v>
      </c>
      <c r="H25" s="786" t="s">
        <v>1614</v>
      </c>
      <c r="I25" s="786">
        <v>143.24</v>
      </c>
      <c r="J25" s="262"/>
    </row>
    <row r="26" spans="1:10" ht="18" customHeight="1">
      <c r="A26" s="780" t="s">
        <v>640</v>
      </c>
      <c r="B26" s="783"/>
      <c r="C26" s="785">
        <v>0</v>
      </c>
      <c r="D26" s="781">
        <v>456</v>
      </c>
      <c r="E26" s="785">
        <v>22751.4</v>
      </c>
      <c r="F26" s="781">
        <v>456</v>
      </c>
      <c r="G26" s="785">
        <v>22751.4</v>
      </c>
      <c r="H26" s="786" t="s">
        <v>1615</v>
      </c>
      <c r="I26" s="786">
        <v>169.8</v>
      </c>
      <c r="J26" s="262"/>
    </row>
    <row r="27" spans="1:10" ht="18" customHeight="1">
      <c r="A27" s="780" t="s">
        <v>57</v>
      </c>
      <c r="B27" s="782">
        <v>1950</v>
      </c>
      <c r="C27" s="785">
        <v>97210.5</v>
      </c>
      <c r="D27" s="781">
        <v>0</v>
      </c>
      <c r="E27" s="785">
        <v>0</v>
      </c>
      <c r="F27" s="782">
        <v>1950</v>
      </c>
      <c r="G27" s="785">
        <v>97210.5</v>
      </c>
      <c r="H27" s="786" t="s">
        <v>1616</v>
      </c>
      <c r="I27" s="786">
        <v>147.59</v>
      </c>
      <c r="J27" s="262"/>
    </row>
    <row r="28" spans="1:10" ht="18" customHeight="1">
      <c r="A28" s="780" t="s">
        <v>205</v>
      </c>
      <c r="B28" s="781">
        <f>599+10</f>
        <v>609</v>
      </c>
      <c r="C28" s="785">
        <f>29855.5+498.5</f>
        <v>30354</v>
      </c>
      <c r="D28" s="781">
        <v>0</v>
      </c>
      <c r="E28" s="785">
        <v>0</v>
      </c>
      <c r="F28" s="781">
        <f>599+10</f>
        <v>609</v>
      </c>
      <c r="G28" s="785">
        <f>29855.5+498.5</f>
        <v>30354</v>
      </c>
      <c r="H28" s="786">
        <f>4203722.5+60817</f>
        <v>4264539.5</v>
      </c>
      <c r="I28" s="786">
        <v>140.8</v>
      </c>
      <c r="J28" s="262"/>
    </row>
    <row r="29" spans="1:10" ht="18" customHeight="1">
      <c r="A29" s="780" t="s">
        <v>174</v>
      </c>
      <c r="B29" s="781">
        <v>829</v>
      </c>
      <c r="C29" s="785">
        <v>41324</v>
      </c>
      <c r="D29" s="781">
        <v>35</v>
      </c>
      <c r="E29" s="785">
        <v>1747.4</v>
      </c>
      <c r="F29" s="781">
        <v>864</v>
      </c>
      <c r="G29" s="785">
        <v>43071.4</v>
      </c>
      <c r="H29" s="786" t="s">
        <v>1617</v>
      </c>
      <c r="I29" s="786">
        <v>165.43</v>
      </c>
      <c r="J29" s="262"/>
    </row>
    <row r="30" spans="1:10" ht="18" customHeight="1">
      <c r="A30" s="780" t="s">
        <v>1572</v>
      </c>
      <c r="B30" s="781">
        <v>10</v>
      </c>
      <c r="C30" s="785">
        <v>500</v>
      </c>
      <c r="D30" s="781">
        <v>0</v>
      </c>
      <c r="E30" s="785">
        <v>0</v>
      </c>
      <c r="F30" s="781">
        <v>10</v>
      </c>
      <c r="G30" s="785">
        <v>500</v>
      </c>
      <c r="H30" s="786">
        <v>81500</v>
      </c>
      <c r="I30" s="786">
        <v>163</v>
      </c>
      <c r="J30" s="262"/>
    </row>
    <row r="31" spans="1:10" ht="18" customHeight="1">
      <c r="A31" s="780" t="s">
        <v>208</v>
      </c>
      <c r="B31" s="781">
        <v>195</v>
      </c>
      <c r="C31" s="785">
        <v>9729</v>
      </c>
      <c r="D31" s="781">
        <v>10</v>
      </c>
      <c r="E31" s="785">
        <v>498.4</v>
      </c>
      <c r="F31" s="781">
        <v>205</v>
      </c>
      <c r="G31" s="785">
        <v>10227.4</v>
      </c>
      <c r="H31" s="786" t="s">
        <v>1618</v>
      </c>
      <c r="I31" s="786">
        <v>149.97</v>
      </c>
      <c r="J31" s="262"/>
    </row>
    <row r="32" spans="1:10" ht="18" customHeight="1">
      <c r="A32" s="780" t="s">
        <v>176</v>
      </c>
      <c r="B32" s="782">
        <v>1095</v>
      </c>
      <c r="C32" s="785">
        <v>54581.5</v>
      </c>
      <c r="D32" s="781">
        <v>670</v>
      </c>
      <c r="E32" s="785">
        <v>33428.5</v>
      </c>
      <c r="F32" s="782">
        <v>1765</v>
      </c>
      <c r="G32" s="785">
        <v>88010</v>
      </c>
      <c r="H32" s="786" t="s">
        <v>1619</v>
      </c>
      <c r="I32" s="786">
        <v>168.43</v>
      </c>
      <c r="J32" s="262"/>
    </row>
    <row r="33" spans="1:10" ht="18" customHeight="1">
      <c r="A33" s="780" t="s">
        <v>130</v>
      </c>
      <c r="B33" s="781">
        <v>170</v>
      </c>
      <c r="C33" s="785">
        <v>8473</v>
      </c>
      <c r="D33" s="781">
        <v>0</v>
      </c>
      <c r="E33" s="785">
        <v>0</v>
      </c>
      <c r="F33" s="781">
        <v>170</v>
      </c>
      <c r="G33" s="785">
        <v>8473</v>
      </c>
      <c r="H33" s="786" t="s">
        <v>1620</v>
      </c>
      <c r="I33" s="786">
        <v>122.88</v>
      </c>
      <c r="J33" s="262"/>
    </row>
    <row r="34" spans="1:10" ht="18" customHeight="1">
      <c r="A34" s="780" t="s">
        <v>132</v>
      </c>
      <c r="B34" s="781">
        <v>60</v>
      </c>
      <c r="C34" s="785">
        <v>2995.5</v>
      </c>
      <c r="D34" s="781">
        <v>0</v>
      </c>
      <c r="E34" s="785">
        <v>0</v>
      </c>
      <c r="F34" s="781">
        <v>60</v>
      </c>
      <c r="G34" s="785">
        <v>2995.5</v>
      </c>
      <c r="H34" s="786" t="s">
        <v>1621</v>
      </c>
      <c r="I34" s="786">
        <v>144.67</v>
      </c>
      <c r="J34" s="262"/>
    </row>
    <row r="35" spans="1:10" ht="18" customHeight="1">
      <c r="A35" s="780" t="s">
        <v>475</v>
      </c>
      <c r="B35" s="782">
        <v>4100</v>
      </c>
      <c r="C35" s="785" t="s">
        <v>1622</v>
      </c>
      <c r="D35" s="781">
        <v>0</v>
      </c>
      <c r="E35" s="785">
        <v>0</v>
      </c>
      <c r="F35" s="782">
        <v>4100</v>
      </c>
      <c r="G35" s="785" t="s">
        <v>1622</v>
      </c>
      <c r="H35" s="786" t="s">
        <v>1623</v>
      </c>
      <c r="I35" s="786">
        <v>192.15</v>
      </c>
      <c r="J35" s="262"/>
    </row>
    <row r="36" spans="1:10" ht="18" customHeight="1">
      <c r="A36" s="780" t="s">
        <v>59</v>
      </c>
      <c r="B36" s="782">
        <v>1106</v>
      </c>
      <c r="C36" s="785">
        <v>55118.5</v>
      </c>
      <c r="D36" s="781">
        <v>0</v>
      </c>
      <c r="E36" s="785">
        <v>0</v>
      </c>
      <c r="F36" s="782">
        <v>1106</v>
      </c>
      <c r="G36" s="785">
        <v>55118.5</v>
      </c>
      <c r="H36" s="786" t="s">
        <v>1624</v>
      </c>
      <c r="I36" s="786">
        <v>165.31</v>
      </c>
      <c r="J36" s="262"/>
    </row>
    <row r="37" spans="1:10" ht="18" customHeight="1">
      <c r="A37" s="780" t="s">
        <v>1040</v>
      </c>
      <c r="B37" s="781">
        <v>50</v>
      </c>
      <c r="C37" s="785">
        <v>2492.5</v>
      </c>
      <c r="D37" s="781">
        <v>30</v>
      </c>
      <c r="E37" s="785">
        <v>1497.6</v>
      </c>
      <c r="F37" s="781">
        <v>80</v>
      </c>
      <c r="G37" s="785">
        <v>3990.1</v>
      </c>
      <c r="H37" s="786" t="s">
        <v>1625</v>
      </c>
      <c r="I37" s="786">
        <v>99.38</v>
      </c>
      <c r="J37" s="262"/>
    </row>
    <row r="38" spans="1:10" ht="18" customHeight="1">
      <c r="A38" s="780" t="s">
        <v>61</v>
      </c>
      <c r="B38" s="781">
        <f>987+61</f>
        <v>1048</v>
      </c>
      <c r="C38" s="785">
        <f>49189.5+3044</f>
        <v>52233.5</v>
      </c>
      <c r="D38" s="781">
        <v>15</v>
      </c>
      <c r="E38" s="785">
        <v>748.4</v>
      </c>
      <c r="F38" s="782">
        <f>1002+61</f>
        <v>1063</v>
      </c>
      <c r="G38" s="785">
        <f>49937.9+3044</f>
        <v>52981.9</v>
      </c>
      <c r="H38" s="786">
        <f>7837366.3+414456.5</f>
        <v>8251822.8</v>
      </c>
      <c r="I38" s="786">
        <f>H38/G38</f>
        <v>155.74795920871088</v>
      </c>
      <c r="J38" s="262"/>
    </row>
    <row r="39" spans="1:10" ht="18" customHeight="1">
      <c r="A39" s="780" t="s">
        <v>63</v>
      </c>
      <c r="B39" s="781">
        <f>817+10</f>
        <v>827</v>
      </c>
      <c r="C39" s="785">
        <f>40269.5+498.5</f>
        <v>40768</v>
      </c>
      <c r="D39" s="781">
        <v>20</v>
      </c>
      <c r="E39" s="785">
        <v>998.2</v>
      </c>
      <c r="F39" s="781">
        <f>837+10</f>
        <v>847</v>
      </c>
      <c r="G39" s="785">
        <f>41267.7+498.5</f>
        <v>41766.2</v>
      </c>
      <c r="H39" s="786">
        <f>9519420+73778</f>
        <v>9593198</v>
      </c>
      <c r="I39" s="786">
        <f>H39/G39</f>
        <v>229.6880731309049</v>
      </c>
      <c r="J39" s="262"/>
    </row>
    <row r="40" spans="1:10" ht="18" customHeight="1">
      <c r="A40" s="780" t="s">
        <v>872</v>
      </c>
      <c r="B40" s="781">
        <v>30</v>
      </c>
      <c r="C40" s="785">
        <v>1495</v>
      </c>
      <c r="D40" s="781">
        <v>265</v>
      </c>
      <c r="E40" s="785">
        <v>13212.4</v>
      </c>
      <c r="F40" s="781">
        <v>295</v>
      </c>
      <c r="G40" s="785">
        <v>14707.4</v>
      </c>
      <c r="H40" s="786" t="s">
        <v>1626</v>
      </c>
      <c r="I40" s="786">
        <v>117.24</v>
      </c>
      <c r="J40" s="262"/>
    </row>
    <row r="41" spans="1:10" ht="18" customHeight="1">
      <c r="A41" s="780" t="s">
        <v>329</v>
      </c>
      <c r="B41" s="781">
        <v>231</v>
      </c>
      <c r="C41" s="785">
        <v>11517</v>
      </c>
      <c r="D41" s="781">
        <v>25</v>
      </c>
      <c r="E41" s="785">
        <v>1247.6</v>
      </c>
      <c r="F41" s="781">
        <v>256</v>
      </c>
      <c r="G41" s="785">
        <v>12764.6</v>
      </c>
      <c r="H41" s="786" t="s">
        <v>1627</v>
      </c>
      <c r="I41" s="786">
        <v>229.36</v>
      </c>
      <c r="J41" s="262"/>
    </row>
    <row r="42" spans="1:10" ht="18" customHeight="1">
      <c r="A42" s="780" t="s">
        <v>438</v>
      </c>
      <c r="B42" s="781">
        <v>90</v>
      </c>
      <c r="C42" s="785">
        <v>4492.5</v>
      </c>
      <c r="D42" s="781">
        <v>0</v>
      </c>
      <c r="E42" s="785">
        <v>0</v>
      </c>
      <c r="F42" s="781">
        <v>90</v>
      </c>
      <c r="G42" s="785">
        <v>4492.5</v>
      </c>
      <c r="H42" s="786" t="s">
        <v>1628</v>
      </c>
      <c r="I42" s="786">
        <v>220.78</v>
      </c>
      <c r="J42" s="262"/>
    </row>
    <row r="43" spans="1:10" ht="18" customHeight="1">
      <c r="A43" s="780" t="s">
        <v>136</v>
      </c>
      <c r="B43" s="782">
        <v>1289</v>
      </c>
      <c r="C43" s="785">
        <v>64309</v>
      </c>
      <c r="D43" s="781">
        <v>20</v>
      </c>
      <c r="E43" s="785">
        <v>998</v>
      </c>
      <c r="F43" s="782">
        <v>1309</v>
      </c>
      <c r="G43" s="785">
        <v>65307</v>
      </c>
      <c r="H43" s="786" t="s">
        <v>1629</v>
      </c>
      <c r="I43" s="786">
        <v>207.34</v>
      </c>
      <c r="J43" s="262"/>
    </row>
    <row r="44" spans="1:10" ht="18" customHeight="1">
      <c r="A44" s="780" t="s">
        <v>65</v>
      </c>
      <c r="B44" s="781">
        <v>10</v>
      </c>
      <c r="C44" s="785">
        <v>498.5</v>
      </c>
      <c r="D44" s="781">
        <v>0</v>
      </c>
      <c r="E44" s="785">
        <v>0</v>
      </c>
      <c r="F44" s="781">
        <v>10</v>
      </c>
      <c r="G44" s="785">
        <v>498.5</v>
      </c>
      <c r="H44" s="786" t="s">
        <v>66</v>
      </c>
      <c r="I44" s="786">
        <v>265</v>
      </c>
      <c r="J44" s="262"/>
    </row>
    <row r="45" spans="1:10" ht="18" customHeight="1">
      <c r="A45" s="780" t="s">
        <v>67</v>
      </c>
      <c r="B45" s="782">
        <v>2830</v>
      </c>
      <c r="C45" s="785" t="s">
        <v>1630</v>
      </c>
      <c r="D45" s="781">
        <v>1825</v>
      </c>
      <c r="E45" s="785">
        <v>91092.6</v>
      </c>
      <c r="F45" s="782">
        <v>4655</v>
      </c>
      <c r="G45" s="785" t="s">
        <v>1631</v>
      </c>
      <c r="H45" s="786" t="s">
        <v>1632</v>
      </c>
      <c r="I45" s="786">
        <v>184.31</v>
      </c>
      <c r="J45" s="262"/>
    </row>
    <row r="46" spans="1:10" ht="18" customHeight="1">
      <c r="A46" s="780" t="s">
        <v>762</v>
      </c>
      <c r="B46" s="781">
        <v>20</v>
      </c>
      <c r="C46" s="785">
        <v>997</v>
      </c>
      <c r="D46" s="781">
        <v>0</v>
      </c>
      <c r="E46" s="785">
        <v>0</v>
      </c>
      <c r="F46" s="781">
        <v>20</v>
      </c>
      <c r="G46" s="785">
        <v>997</v>
      </c>
      <c r="H46" s="786" t="s">
        <v>763</v>
      </c>
      <c r="I46" s="786">
        <v>150</v>
      </c>
      <c r="J46" s="262"/>
    </row>
    <row r="47" spans="1:10" ht="18" customHeight="1">
      <c r="A47" s="780" t="s">
        <v>69</v>
      </c>
      <c r="B47" s="782">
        <v>1772</v>
      </c>
      <c r="C47" s="785">
        <v>88261.5</v>
      </c>
      <c r="D47" s="781">
        <v>25</v>
      </c>
      <c r="E47" s="785">
        <v>1245.4</v>
      </c>
      <c r="F47" s="782">
        <v>1797</v>
      </c>
      <c r="G47" s="785">
        <v>89506.9</v>
      </c>
      <c r="H47" s="786" t="s">
        <v>1633</v>
      </c>
      <c r="I47" s="786">
        <v>121.16</v>
      </c>
      <c r="J47" s="262"/>
    </row>
    <row r="48" spans="1:10" ht="18" customHeight="1">
      <c r="A48" s="780" t="s">
        <v>71</v>
      </c>
      <c r="B48" s="782">
        <v>32199</v>
      </c>
      <c r="C48" s="785" t="s">
        <v>1635</v>
      </c>
      <c r="D48" s="781">
        <v>5322</v>
      </c>
      <c r="E48" s="785" t="s">
        <v>1636</v>
      </c>
      <c r="F48" s="782">
        <v>37521</v>
      </c>
      <c r="G48" s="785" t="s">
        <v>1637</v>
      </c>
      <c r="H48" s="786" t="s">
        <v>1638</v>
      </c>
      <c r="I48" s="786">
        <v>175.14</v>
      </c>
      <c r="J48" s="262"/>
    </row>
    <row r="49" spans="1:10" ht="18" customHeight="1">
      <c r="A49" s="780" t="s">
        <v>648</v>
      </c>
      <c r="B49" s="781">
        <v>350</v>
      </c>
      <c r="C49" s="785">
        <v>17446</v>
      </c>
      <c r="D49" s="781">
        <v>10</v>
      </c>
      <c r="E49" s="785">
        <v>498.4</v>
      </c>
      <c r="F49" s="781">
        <v>360</v>
      </c>
      <c r="G49" s="785">
        <v>17944.4</v>
      </c>
      <c r="H49" s="786" t="s">
        <v>1639</v>
      </c>
      <c r="I49" s="786">
        <v>110.22</v>
      </c>
      <c r="J49" s="262"/>
    </row>
    <row r="50" spans="1:10" ht="18" customHeight="1">
      <c r="A50" s="780" t="s">
        <v>1019</v>
      </c>
      <c r="B50" s="781">
        <v>714</v>
      </c>
      <c r="C50" s="785">
        <v>35555</v>
      </c>
      <c r="D50" s="781">
        <v>1004</v>
      </c>
      <c r="E50" s="785">
        <v>50087.9</v>
      </c>
      <c r="F50" s="782">
        <v>1718</v>
      </c>
      <c r="G50" s="785">
        <v>85642.9</v>
      </c>
      <c r="H50" s="786" t="s">
        <v>1640</v>
      </c>
      <c r="I50" s="786">
        <v>156.09</v>
      </c>
      <c r="J50" s="262"/>
    </row>
    <row r="51" spans="1:10" ht="18" customHeight="1">
      <c r="A51" s="780" t="s">
        <v>73</v>
      </c>
      <c r="B51" s="782">
        <f>1676+20</f>
        <v>1696</v>
      </c>
      <c r="C51" s="785">
        <f>83569.5+498.5+498.5</f>
        <v>84566.5</v>
      </c>
      <c r="D51" s="781">
        <v>0</v>
      </c>
      <c r="E51" s="785">
        <v>0</v>
      </c>
      <c r="F51" s="782">
        <f>1676+20</f>
        <v>1696</v>
      </c>
      <c r="G51" s="785">
        <f>83569.5+498.5+498.5</f>
        <v>84566.5</v>
      </c>
      <c r="H51" s="786">
        <f>12170861.5+53838+34895</f>
        <v>12259594.5</v>
      </c>
      <c r="I51" s="786">
        <f>H51/G51</f>
        <v>144.96986986572696</v>
      </c>
      <c r="J51" s="262"/>
    </row>
    <row r="52" spans="1:10" ht="18" customHeight="1">
      <c r="A52" s="780" t="s">
        <v>918</v>
      </c>
      <c r="B52" s="781">
        <v>30</v>
      </c>
      <c r="C52" s="785">
        <v>1497</v>
      </c>
      <c r="D52" s="781">
        <v>0</v>
      </c>
      <c r="E52" s="785">
        <v>0</v>
      </c>
      <c r="F52" s="781">
        <v>30</v>
      </c>
      <c r="G52" s="785">
        <v>1497</v>
      </c>
      <c r="H52" s="786" t="s">
        <v>1641</v>
      </c>
      <c r="I52" s="786">
        <v>108.33</v>
      </c>
      <c r="J52" s="262"/>
    </row>
    <row r="53" spans="1:10" ht="18" customHeight="1">
      <c r="A53" s="780" t="s">
        <v>1095</v>
      </c>
      <c r="B53" s="781">
        <v>1172</v>
      </c>
      <c r="C53" s="785">
        <v>58215</v>
      </c>
      <c r="D53" s="781">
        <v>453</v>
      </c>
      <c r="E53" s="785">
        <v>22602.7</v>
      </c>
      <c r="F53" s="781">
        <v>1625</v>
      </c>
      <c r="G53" s="785">
        <v>80817.7</v>
      </c>
      <c r="H53" s="786">
        <v>13393283.4</v>
      </c>
      <c r="I53" s="786">
        <v>165.72215492398325</v>
      </c>
      <c r="J53" s="262"/>
    </row>
    <row r="54" spans="1:17" ht="18" customHeight="1">
      <c r="A54" s="780" t="s">
        <v>77</v>
      </c>
      <c r="B54" s="782">
        <v>1477</v>
      </c>
      <c r="C54" s="785">
        <v>73598</v>
      </c>
      <c r="D54" s="781">
        <v>1114</v>
      </c>
      <c r="E54" s="785">
        <v>55553.3</v>
      </c>
      <c r="F54" s="782">
        <v>2591</v>
      </c>
      <c r="G54" s="785" t="s">
        <v>1642</v>
      </c>
      <c r="H54" s="786" t="s">
        <v>1643</v>
      </c>
      <c r="I54" s="786">
        <v>149.44</v>
      </c>
      <c r="J54" s="374"/>
      <c r="K54" s="710"/>
      <c r="L54" s="374"/>
      <c r="M54" s="51"/>
      <c r="N54" s="778"/>
      <c r="O54" s="375"/>
      <c r="P54" s="779"/>
      <c r="Q54" s="375"/>
    </row>
    <row r="55" spans="1:10" ht="18" customHeight="1">
      <c r="A55" s="780" t="s">
        <v>445</v>
      </c>
      <c r="B55" s="781">
        <v>212</v>
      </c>
      <c r="C55" s="785">
        <v>10553.5</v>
      </c>
      <c r="D55" s="781">
        <v>61</v>
      </c>
      <c r="E55" s="785">
        <v>3041.1</v>
      </c>
      <c r="F55" s="781">
        <v>273</v>
      </c>
      <c r="G55" s="785">
        <v>13594.6</v>
      </c>
      <c r="H55" s="786" t="s">
        <v>1644</v>
      </c>
      <c r="I55" s="786">
        <v>172.61</v>
      </c>
      <c r="J55" s="262"/>
    </row>
    <row r="56" spans="1:10" ht="18" customHeight="1">
      <c r="A56" s="780" t="s">
        <v>257</v>
      </c>
      <c r="B56" s="781">
        <v>90</v>
      </c>
      <c r="C56" s="785">
        <v>4486.5</v>
      </c>
      <c r="D56" s="781">
        <v>10</v>
      </c>
      <c r="E56" s="785">
        <v>499.2</v>
      </c>
      <c r="F56" s="781">
        <v>100</v>
      </c>
      <c r="G56" s="785">
        <v>4985.7</v>
      </c>
      <c r="H56" s="786" t="s">
        <v>1645</v>
      </c>
      <c r="I56" s="786">
        <v>199</v>
      </c>
      <c r="J56" s="262"/>
    </row>
    <row r="57" spans="1:10" ht="18" customHeight="1">
      <c r="A57" s="780" t="s">
        <v>842</v>
      </c>
      <c r="B57" s="781">
        <v>20</v>
      </c>
      <c r="C57" s="785">
        <v>997</v>
      </c>
      <c r="D57" s="781">
        <v>0</v>
      </c>
      <c r="E57" s="785">
        <v>0</v>
      </c>
      <c r="F57" s="781">
        <v>20</v>
      </c>
      <c r="G57" s="785">
        <v>997</v>
      </c>
      <c r="H57" s="786" t="s">
        <v>843</v>
      </c>
      <c r="I57" s="786">
        <v>203.5</v>
      </c>
      <c r="J57" s="262"/>
    </row>
    <row r="58" spans="1:10" ht="18" customHeight="1">
      <c r="A58" s="780" t="s">
        <v>882</v>
      </c>
      <c r="B58" s="781">
        <v>235</v>
      </c>
      <c r="C58" s="785">
        <v>11718.5</v>
      </c>
      <c r="D58" s="781">
        <v>10</v>
      </c>
      <c r="E58" s="785">
        <v>500</v>
      </c>
      <c r="F58" s="781">
        <v>245</v>
      </c>
      <c r="G58" s="785">
        <v>12218.5</v>
      </c>
      <c r="H58" s="786" t="s">
        <v>1646</v>
      </c>
      <c r="I58" s="786">
        <v>115.58</v>
      </c>
      <c r="J58" s="262"/>
    </row>
    <row r="59" spans="1:10" ht="18" customHeight="1">
      <c r="A59" s="780" t="s">
        <v>79</v>
      </c>
      <c r="B59" s="783"/>
      <c r="C59" s="785">
        <v>0</v>
      </c>
      <c r="D59" s="781">
        <v>246</v>
      </c>
      <c r="E59" s="785">
        <v>12269</v>
      </c>
      <c r="F59" s="781">
        <v>246</v>
      </c>
      <c r="G59" s="785">
        <v>12269</v>
      </c>
      <c r="H59" s="786" t="s">
        <v>1647</v>
      </c>
      <c r="I59" s="786">
        <v>201.04</v>
      </c>
      <c r="J59" s="262"/>
    </row>
    <row r="60" spans="1:10" ht="18" customHeight="1">
      <c r="A60" s="780" t="s">
        <v>144</v>
      </c>
      <c r="B60" s="781">
        <v>60</v>
      </c>
      <c r="C60" s="785">
        <v>2991</v>
      </c>
      <c r="D60" s="781">
        <v>0</v>
      </c>
      <c r="E60" s="785">
        <v>0</v>
      </c>
      <c r="F60" s="781">
        <v>60</v>
      </c>
      <c r="G60" s="785">
        <v>2991</v>
      </c>
      <c r="H60" s="786" t="s">
        <v>1648</v>
      </c>
      <c r="I60" s="786">
        <v>136.18</v>
      </c>
      <c r="J60" s="262"/>
    </row>
    <row r="61" spans="1:10" ht="18" customHeight="1">
      <c r="A61" s="780" t="s">
        <v>221</v>
      </c>
      <c r="B61" s="782">
        <v>2500</v>
      </c>
      <c r="C61" s="785" t="s">
        <v>1649</v>
      </c>
      <c r="D61" s="781">
        <v>1135</v>
      </c>
      <c r="E61" s="785">
        <v>56627.9</v>
      </c>
      <c r="F61" s="782">
        <v>3635</v>
      </c>
      <c r="G61" s="785" t="s">
        <v>1650</v>
      </c>
      <c r="H61" s="786" t="s">
        <v>1651</v>
      </c>
      <c r="I61" s="786">
        <v>165.29</v>
      </c>
      <c r="J61" s="262"/>
    </row>
    <row r="62" spans="1:10" ht="18" customHeight="1">
      <c r="A62" s="780" t="s">
        <v>613</v>
      </c>
      <c r="B62" s="781">
        <v>60</v>
      </c>
      <c r="C62" s="785">
        <v>2988</v>
      </c>
      <c r="D62" s="781">
        <v>0</v>
      </c>
      <c r="E62" s="785">
        <v>0</v>
      </c>
      <c r="F62" s="781">
        <v>60</v>
      </c>
      <c r="G62" s="785">
        <v>2988</v>
      </c>
      <c r="H62" s="786" t="s">
        <v>1652</v>
      </c>
      <c r="I62" s="786">
        <v>163.03</v>
      </c>
      <c r="J62" s="262"/>
    </row>
    <row r="63" spans="1:10" ht="18" customHeight="1">
      <c r="A63" s="780" t="s">
        <v>146</v>
      </c>
      <c r="B63" s="781">
        <v>311</v>
      </c>
      <c r="C63" s="785">
        <v>15463.5</v>
      </c>
      <c r="D63" s="781">
        <v>20</v>
      </c>
      <c r="E63" s="785">
        <v>998.7</v>
      </c>
      <c r="F63" s="781">
        <v>331</v>
      </c>
      <c r="G63" s="785">
        <v>16462.2</v>
      </c>
      <c r="H63" s="786" t="s">
        <v>1653</v>
      </c>
      <c r="I63" s="786">
        <v>166.03</v>
      </c>
      <c r="J63" s="262"/>
    </row>
    <row r="64" spans="1:10" ht="18" customHeight="1">
      <c r="A64" s="780" t="s">
        <v>1329</v>
      </c>
      <c r="B64" s="781">
        <v>10</v>
      </c>
      <c r="C64" s="785">
        <v>498.5</v>
      </c>
      <c r="D64" s="781">
        <v>0</v>
      </c>
      <c r="E64" s="785">
        <v>0</v>
      </c>
      <c r="F64" s="781">
        <v>10</v>
      </c>
      <c r="G64" s="785">
        <v>498.5</v>
      </c>
      <c r="H64" s="786">
        <v>47357.5</v>
      </c>
      <c r="I64" s="786">
        <v>95</v>
      </c>
      <c r="J64" s="262"/>
    </row>
    <row r="65" spans="1:10" ht="18" customHeight="1">
      <c r="A65" s="780" t="s">
        <v>81</v>
      </c>
      <c r="B65" s="782">
        <f>1053+365</f>
        <v>1418</v>
      </c>
      <c r="C65" s="785">
        <f>52542+18152.5</f>
        <v>70694.5</v>
      </c>
      <c r="D65" s="781">
        <v>0</v>
      </c>
      <c r="E65" s="785">
        <v>0</v>
      </c>
      <c r="F65" s="782">
        <f>1053+365</f>
        <v>1418</v>
      </c>
      <c r="G65" s="785">
        <f>52542+18152.5</f>
        <v>70694.5</v>
      </c>
      <c r="H65" s="786">
        <f>8053236+1925282</f>
        <v>9978518</v>
      </c>
      <c r="I65" s="786">
        <f>H65/G65</f>
        <v>141.14984899815403</v>
      </c>
      <c r="J65" s="262"/>
    </row>
    <row r="66" spans="1:10" ht="18" customHeight="1">
      <c r="A66" s="780" t="s">
        <v>83</v>
      </c>
      <c r="B66" s="782">
        <v>8172</v>
      </c>
      <c r="C66" s="785" t="s">
        <v>1654</v>
      </c>
      <c r="D66" s="781">
        <v>1015</v>
      </c>
      <c r="E66" s="785">
        <v>50645</v>
      </c>
      <c r="F66" s="782">
        <v>9187</v>
      </c>
      <c r="G66" s="785" t="s">
        <v>1655</v>
      </c>
      <c r="H66" s="786" t="s">
        <v>1656</v>
      </c>
      <c r="I66" s="786">
        <v>168.03</v>
      </c>
      <c r="J66" s="262"/>
    </row>
    <row r="67" spans="1:10" ht="18" customHeight="1">
      <c r="A67" s="780" t="s">
        <v>342</v>
      </c>
      <c r="B67" s="781">
        <v>10</v>
      </c>
      <c r="C67" s="785">
        <v>497</v>
      </c>
      <c r="D67" s="781">
        <v>45</v>
      </c>
      <c r="E67" s="785">
        <v>2242.6</v>
      </c>
      <c r="F67" s="781">
        <v>55</v>
      </c>
      <c r="G67" s="785">
        <v>2739.6</v>
      </c>
      <c r="H67" s="786" t="s">
        <v>1657</v>
      </c>
      <c r="I67" s="786">
        <v>125.42</v>
      </c>
      <c r="J67" s="262"/>
    </row>
    <row r="68" spans="1:10" ht="18" customHeight="1">
      <c r="A68" s="780" t="s">
        <v>85</v>
      </c>
      <c r="B68" s="781">
        <v>1109</v>
      </c>
      <c r="C68" s="785">
        <v>55265</v>
      </c>
      <c r="D68" s="781">
        <v>225</v>
      </c>
      <c r="E68" s="785">
        <v>11221.1</v>
      </c>
      <c r="F68" s="781">
        <v>1334</v>
      </c>
      <c r="G68" s="785">
        <v>66486.1</v>
      </c>
      <c r="H68" s="786">
        <v>8653221.3</v>
      </c>
      <c r="I68" s="786">
        <v>130.1508330312652</v>
      </c>
      <c r="J68" s="262"/>
    </row>
    <row r="69" spans="1:10" ht="18" customHeight="1">
      <c r="A69" s="780" t="s">
        <v>87</v>
      </c>
      <c r="B69" s="781">
        <v>298</v>
      </c>
      <c r="C69" s="785">
        <v>14809</v>
      </c>
      <c r="D69" s="781">
        <v>25</v>
      </c>
      <c r="E69" s="785">
        <v>1247.6</v>
      </c>
      <c r="F69" s="781">
        <v>323</v>
      </c>
      <c r="G69" s="785">
        <v>16056.6</v>
      </c>
      <c r="H69" s="786" t="s">
        <v>1658</v>
      </c>
      <c r="I69" s="786">
        <v>171.31</v>
      </c>
      <c r="J69" s="262"/>
    </row>
    <row r="70" spans="1:10" ht="18" customHeight="1">
      <c r="A70" s="780" t="s">
        <v>344</v>
      </c>
      <c r="B70" s="781">
        <v>110</v>
      </c>
      <c r="C70" s="785">
        <v>5489.5</v>
      </c>
      <c r="D70" s="781">
        <v>0</v>
      </c>
      <c r="E70" s="785">
        <v>0</v>
      </c>
      <c r="F70" s="781">
        <v>110</v>
      </c>
      <c r="G70" s="785">
        <v>5489.5</v>
      </c>
      <c r="H70" s="786" t="s">
        <v>1659</v>
      </c>
      <c r="I70" s="786">
        <v>222.66</v>
      </c>
      <c r="J70" s="262"/>
    </row>
    <row r="71" spans="1:10" ht="18" customHeight="1">
      <c r="A71" s="780" t="s">
        <v>1023</v>
      </c>
      <c r="B71" s="781">
        <v>15</v>
      </c>
      <c r="C71" s="785">
        <v>748.5</v>
      </c>
      <c r="D71" s="781">
        <v>0</v>
      </c>
      <c r="E71" s="785">
        <v>0</v>
      </c>
      <c r="F71" s="781">
        <v>15</v>
      </c>
      <c r="G71" s="785">
        <v>748.5</v>
      </c>
      <c r="H71" s="786" t="s">
        <v>1024</v>
      </c>
      <c r="I71" s="786">
        <v>210</v>
      </c>
      <c r="J71" s="262"/>
    </row>
    <row r="72" spans="1:10" ht="18" customHeight="1">
      <c r="A72" s="780" t="s">
        <v>150</v>
      </c>
      <c r="B72" s="782">
        <v>1245</v>
      </c>
      <c r="C72" s="785">
        <v>61950.5</v>
      </c>
      <c r="D72" s="781">
        <v>443</v>
      </c>
      <c r="E72" s="785">
        <v>22096.9</v>
      </c>
      <c r="F72" s="782">
        <v>1688</v>
      </c>
      <c r="G72" s="785">
        <v>84047.4</v>
      </c>
      <c r="H72" s="786" t="s">
        <v>1660</v>
      </c>
      <c r="I72" s="786">
        <v>152.55</v>
      </c>
      <c r="J72" s="262"/>
    </row>
    <row r="73" spans="1:10" ht="18" customHeight="1">
      <c r="A73" s="780" t="s">
        <v>185</v>
      </c>
      <c r="B73" s="781">
        <f>411+10</f>
        <v>421</v>
      </c>
      <c r="C73" s="785">
        <f>20463+498.5</f>
        <v>20961.5</v>
      </c>
      <c r="D73" s="781">
        <v>0</v>
      </c>
      <c r="E73" s="785">
        <v>0</v>
      </c>
      <c r="F73" s="781">
        <f>411+10</f>
        <v>421</v>
      </c>
      <c r="G73" s="785">
        <f>20463+498.5</f>
        <v>20961.5</v>
      </c>
      <c r="H73" s="786">
        <f>3087079+44865</f>
        <v>3131944</v>
      </c>
      <c r="I73" s="786">
        <f>H73/G73</f>
        <v>149.4141163561768</v>
      </c>
      <c r="J73" s="262"/>
    </row>
    <row r="74" spans="1:10" ht="18" customHeight="1">
      <c r="A74" s="780" t="s">
        <v>226</v>
      </c>
      <c r="B74" s="781">
        <v>70</v>
      </c>
      <c r="C74" s="785">
        <v>3482</v>
      </c>
      <c r="D74" s="781">
        <v>723</v>
      </c>
      <c r="E74" s="785">
        <v>36076.1</v>
      </c>
      <c r="F74" s="781">
        <v>793</v>
      </c>
      <c r="G74" s="785">
        <v>39558.1</v>
      </c>
      <c r="H74" s="786" t="s">
        <v>1661</v>
      </c>
      <c r="I74" s="786">
        <v>166.54</v>
      </c>
      <c r="J74" s="262"/>
    </row>
    <row r="75" spans="1:10" ht="18" customHeight="1">
      <c r="A75" s="780" t="s">
        <v>90</v>
      </c>
      <c r="B75" s="781">
        <v>148</v>
      </c>
      <c r="C75" s="785">
        <v>7377.5</v>
      </c>
      <c r="D75" s="781">
        <v>20</v>
      </c>
      <c r="E75" s="785">
        <v>997.6</v>
      </c>
      <c r="F75" s="781">
        <v>168</v>
      </c>
      <c r="G75" s="785">
        <v>8375.1</v>
      </c>
      <c r="H75" s="786" t="s">
        <v>1662</v>
      </c>
      <c r="I75" s="786">
        <v>215.14</v>
      </c>
      <c r="J75" s="262"/>
    </row>
    <row r="76" spans="1:10" ht="18" customHeight="1">
      <c r="A76" s="780" t="s">
        <v>153</v>
      </c>
      <c r="B76" s="781">
        <v>191</v>
      </c>
      <c r="C76" s="785">
        <v>9515.5</v>
      </c>
      <c r="D76" s="781">
        <v>84</v>
      </c>
      <c r="E76" s="785">
        <v>4189.9</v>
      </c>
      <c r="F76" s="781">
        <v>275</v>
      </c>
      <c r="G76" s="785">
        <v>13705.4</v>
      </c>
      <c r="H76" s="786" t="s">
        <v>1663</v>
      </c>
      <c r="I76" s="786">
        <v>169.29</v>
      </c>
      <c r="J76" s="262"/>
    </row>
    <row r="77" spans="1:10" ht="18" customHeight="1">
      <c r="A77" s="780" t="s">
        <v>561</v>
      </c>
      <c r="B77" s="783"/>
      <c r="C77" s="785">
        <v>0</v>
      </c>
      <c r="D77" s="781">
        <v>5</v>
      </c>
      <c r="E77" s="785">
        <v>249.5</v>
      </c>
      <c r="F77" s="781">
        <v>5</v>
      </c>
      <c r="G77" s="785">
        <v>249.5</v>
      </c>
      <c r="H77" s="786">
        <v>68113.5</v>
      </c>
      <c r="I77" s="786">
        <v>273</v>
      </c>
      <c r="J77" s="262"/>
    </row>
    <row r="78" spans="1:10" ht="18" customHeight="1">
      <c r="A78" s="780" t="s">
        <v>347</v>
      </c>
      <c r="B78" s="783"/>
      <c r="C78" s="785">
        <v>0</v>
      </c>
      <c r="D78" s="781">
        <v>217</v>
      </c>
      <c r="E78" s="785">
        <v>10827.6</v>
      </c>
      <c r="F78" s="781">
        <v>217</v>
      </c>
      <c r="G78" s="785">
        <v>10827.6</v>
      </c>
      <c r="H78" s="786" t="s">
        <v>1664</v>
      </c>
      <c r="I78" s="786">
        <v>170.43</v>
      </c>
      <c r="J78" s="262"/>
    </row>
    <row r="79" spans="1:10" ht="18" customHeight="1">
      <c r="A79" s="780" t="s">
        <v>155</v>
      </c>
      <c r="B79" s="781">
        <v>354</v>
      </c>
      <c r="C79" s="785">
        <v>17653.5</v>
      </c>
      <c r="D79" s="781">
        <v>0</v>
      </c>
      <c r="E79" s="785">
        <v>0</v>
      </c>
      <c r="F79" s="781">
        <v>354</v>
      </c>
      <c r="G79" s="785">
        <v>17653.5</v>
      </c>
      <c r="H79" s="786" t="s">
        <v>1665</v>
      </c>
      <c r="I79" s="786">
        <v>159.86</v>
      </c>
      <c r="J79" s="262"/>
    </row>
    <row r="80" spans="1:10" ht="18" customHeight="1">
      <c r="A80" s="780" t="s">
        <v>92</v>
      </c>
      <c r="B80" s="782">
        <v>1171</v>
      </c>
      <c r="C80" s="785">
        <v>58359</v>
      </c>
      <c r="D80" s="781">
        <v>872</v>
      </c>
      <c r="E80" s="785">
        <v>43515.7</v>
      </c>
      <c r="F80" s="782">
        <v>2043</v>
      </c>
      <c r="G80" s="785" t="s">
        <v>1666</v>
      </c>
      <c r="H80" s="786" t="s">
        <v>1667</v>
      </c>
      <c r="I80" s="786">
        <v>137.6</v>
      </c>
      <c r="J80" s="262"/>
    </row>
    <row r="81" spans="1:10" ht="18" customHeight="1">
      <c r="A81" s="780" t="s">
        <v>229</v>
      </c>
      <c r="B81" s="782">
        <f>1775+160</f>
        <v>1935</v>
      </c>
      <c r="C81" s="785">
        <f>88470+7956.5</f>
        <v>96426.5</v>
      </c>
      <c r="D81" s="781">
        <v>0</v>
      </c>
      <c r="E81" s="785">
        <v>0</v>
      </c>
      <c r="F81" s="782">
        <f>1775+160</f>
        <v>1935</v>
      </c>
      <c r="G81" s="785">
        <f>88470+7956.5</f>
        <v>96426.5</v>
      </c>
      <c r="H81" s="786">
        <f>9913025.5+719790.5</f>
        <v>10632816</v>
      </c>
      <c r="I81" s="786">
        <f>H81/G81</f>
        <v>110.26860873307649</v>
      </c>
      <c r="J81" s="262"/>
    </row>
    <row r="82" spans="1:15" ht="18" customHeight="1">
      <c r="A82" s="780" t="s">
        <v>187</v>
      </c>
      <c r="B82" s="781">
        <f>260+638</f>
        <v>898</v>
      </c>
      <c r="C82" s="785">
        <f>12934+317775.5</f>
        <v>330709.5</v>
      </c>
      <c r="D82" s="781">
        <v>0</v>
      </c>
      <c r="E82" s="785">
        <v>0</v>
      </c>
      <c r="F82" s="781">
        <f>260+638</f>
        <v>898</v>
      </c>
      <c r="G82" s="785">
        <f>12934+31777.5</f>
        <v>44711.5</v>
      </c>
      <c r="H82" s="786">
        <f>1167836.5+3555841</f>
        <v>4723677.5</v>
      </c>
      <c r="I82" s="786">
        <f>H82/G82</f>
        <v>105.64793174015634</v>
      </c>
      <c r="J82" s="374"/>
      <c r="K82" s="374"/>
      <c r="L82" s="374"/>
      <c r="M82" s="374"/>
      <c r="N82" s="778"/>
      <c r="O82" s="778"/>
    </row>
    <row r="83" spans="1:10" ht="18" customHeight="1">
      <c r="A83" s="780" t="s">
        <v>1061</v>
      </c>
      <c r="B83" s="781">
        <v>291</v>
      </c>
      <c r="C83" s="785">
        <v>14517</v>
      </c>
      <c r="D83" s="781">
        <v>0</v>
      </c>
      <c r="E83" s="785">
        <v>0</v>
      </c>
      <c r="F83" s="781">
        <v>291</v>
      </c>
      <c r="G83" s="785">
        <v>14517</v>
      </c>
      <c r="H83" s="786" t="s">
        <v>1668</v>
      </c>
      <c r="I83" s="786">
        <v>231.65</v>
      </c>
      <c r="J83" s="262"/>
    </row>
    <row r="84" spans="1:10" ht="18" customHeight="1">
      <c r="A84" s="780" t="s">
        <v>233</v>
      </c>
      <c r="B84" s="781">
        <v>353</v>
      </c>
      <c r="C84" s="785">
        <v>17617</v>
      </c>
      <c r="D84" s="781">
        <v>125</v>
      </c>
      <c r="E84" s="785">
        <v>6238.8</v>
      </c>
      <c r="F84" s="781">
        <v>478</v>
      </c>
      <c r="G84" s="785">
        <v>23855.8</v>
      </c>
      <c r="H84" s="786" t="s">
        <v>1669</v>
      </c>
      <c r="I84" s="786">
        <v>143.44</v>
      </c>
      <c r="J84" s="262"/>
    </row>
    <row r="85" spans="1:10" ht="18" customHeight="1">
      <c r="A85" s="780" t="s">
        <v>94</v>
      </c>
      <c r="B85" s="782">
        <v>1232</v>
      </c>
      <c r="C85" s="785">
        <v>61438</v>
      </c>
      <c r="D85" s="781">
        <v>1337</v>
      </c>
      <c r="E85" s="785">
        <v>66735</v>
      </c>
      <c r="F85" s="782">
        <v>2569</v>
      </c>
      <c r="G85" s="785" t="s">
        <v>1670</v>
      </c>
      <c r="H85" s="786" t="s">
        <v>1671</v>
      </c>
      <c r="I85" s="786">
        <v>184.29</v>
      </c>
      <c r="J85" s="262"/>
    </row>
    <row r="86" spans="1:10" ht="18" customHeight="1">
      <c r="A86" s="780" t="s">
        <v>190</v>
      </c>
      <c r="B86" s="781">
        <v>571</v>
      </c>
      <c r="C86" s="785">
        <v>28457</v>
      </c>
      <c r="D86" s="781">
        <v>30</v>
      </c>
      <c r="E86" s="785">
        <v>1494.4</v>
      </c>
      <c r="F86" s="781">
        <v>601</v>
      </c>
      <c r="G86" s="785">
        <v>29951.4</v>
      </c>
      <c r="H86" s="786" t="s">
        <v>1672</v>
      </c>
      <c r="I86" s="786">
        <v>148.36</v>
      </c>
      <c r="J86" s="262"/>
    </row>
    <row r="87" spans="1:10" ht="18" customHeight="1">
      <c r="A87" s="780" t="s">
        <v>1105</v>
      </c>
      <c r="B87" s="783"/>
      <c r="C87" s="785">
        <v>0</v>
      </c>
      <c r="D87" s="781">
        <v>10</v>
      </c>
      <c r="E87" s="785">
        <v>499.2</v>
      </c>
      <c r="F87" s="781">
        <v>10</v>
      </c>
      <c r="G87" s="785">
        <v>499.2</v>
      </c>
      <c r="H87" s="786">
        <v>49920</v>
      </c>
      <c r="I87" s="786">
        <v>100</v>
      </c>
      <c r="J87" s="262"/>
    </row>
    <row r="88" spans="1:10" ht="18" customHeight="1">
      <c r="A88" s="780" t="s">
        <v>266</v>
      </c>
      <c r="B88" s="781">
        <v>10</v>
      </c>
      <c r="C88" s="785">
        <v>498</v>
      </c>
      <c r="D88" s="781">
        <f>664+10</f>
        <v>674</v>
      </c>
      <c r="E88" s="785">
        <f>33124.6+499.2</f>
        <v>33623.799999999996</v>
      </c>
      <c r="F88" s="781">
        <f>674+10</f>
        <v>684</v>
      </c>
      <c r="G88" s="785">
        <f>33622.6+499.2</f>
        <v>34121.799999999996</v>
      </c>
      <c r="H88" s="786">
        <f>4762667.6+52416</f>
        <v>4815083.6</v>
      </c>
      <c r="I88" s="786">
        <f>H88/G88</f>
        <v>141.11458363861226</v>
      </c>
      <c r="J88" s="262"/>
    </row>
    <row r="89" spans="1:10" ht="18" customHeight="1">
      <c r="A89" s="780" t="s">
        <v>96</v>
      </c>
      <c r="B89" s="781">
        <v>969</v>
      </c>
      <c r="C89" s="785">
        <v>48211.5</v>
      </c>
      <c r="D89" s="781">
        <v>0</v>
      </c>
      <c r="E89" s="785">
        <v>0</v>
      </c>
      <c r="F89" s="781">
        <v>969</v>
      </c>
      <c r="G89" s="785">
        <v>48211.5</v>
      </c>
      <c r="H89" s="786" t="s">
        <v>1673</v>
      </c>
      <c r="I89" s="786">
        <v>172.09</v>
      </c>
      <c r="J89" s="262"/>
    </row>
    <row r="90" spans="1:10" ht="18" customHeight="1">
      <c r="A90" s="780" t="s">
        <v>1068</v>
      </c>
      <c r="B90" s="782">
        <f>1245+10</f>
        <v>1255</v>
      </c>
      <c r="C90" s="785">
        <f>62039+498.5</f>
        <v>62537.5</v>
      </c>
      <c r="D90" s="781">
        <v>10</v>
      </c>
      <c r="E90" s="785">
        <v>498.7</v>
      </c>
      <c r="F90" s="782">
        <f>1255+10</f>
        <v>1265</v>
      </c>
      <c r="G90" s="785">
        <f>62537.7+498.5</f>
        <v>63036.2</v>
      </c>
      <c r="H90" s="786">
        <f>7337364.2+34895</f>
        <v>7372259.2</v>
      </c>
      <c r="I90" s="786">
        <f>H90/G90</f>
        <v>116.95278585955373</v>
      </c>
      <c r="J90" s="262"/>
    </row>
    <row r="91" spans="1:10" ht="18" customHeight="1">
      <c r="A91" s="780" t="s">
        <v>98</v>
      </c>
      <c r="B91" s="782">
        <f>5449+65+40+40</f>
        <v>5594</v>
      </c>
      <c r="C91" s="785">
        <f>271650.5+3239.5+1992.5+1992</f>
        <v>278874.5</v>
      </c>
      <c r="D91" s="781">
        <f>340+80</f>
        <v>420</v>
      </c>
      <c r="E91" s="785">
        <f>16965.7+2493.9+1496.8</f>
        <v>20956.4</v>
      </c>
      <c r="F91" s="782">
        <f>5789+65+90+70</f>
        <v>6014</v>
      </c>
      <c r="G91" s="785">
        <f>288616.2+3239.5+4486.4+3488.8</f>
        <v>299830.9</v>
      </c>
      <c r="H91" s="786">
        <f>45905885.5+483992.5+500989.5+416195.5</f>
        <v>47307063</v>
      </c>
      <c r="I91" s="786">
        <f>H91/G91</f>
        <v>157.7791448446441</v>
      </c>
      <c r="J91" s="262"/>
    </row>
    <row r="92" spans="1:10" ht="18" customHeight="1">
      <c r="A92" s="780" t="s">
        <v>237</v>
      </c>
      <c r="B92" s="781">
        <v>705</v>
      </c>
      <c r="C92" s="785">
        <v>35185.5</v>
      </c>
      <c r="D92" s="781">
        <v>130</v>
      </c>
      <c r="E92" s="785">
        <v>6484.8</v>
      </c>
      <c r="F92" s="781">
        <v>835</v>
      </c>
      <c r="G92" s="785">
        <v>41670.3</v>
      </c>
      <c r="H92" s="786" t="s">
        <v>1674</v>
      </c>
      <c r="I92" s="786">
        <v>184.59</v>
      </c>
      <c r="J92" s="262"/>
    </row>
    <row r="93" spans="1:10" ht="18" customHeight="1">
      <c r="A93" s="780" t="s">
        <v>99</v>
      </c>
      <c r="B93" s="782">
        <f>1747+55</f>
        <v>1802</v>
      </c>
      <c r="C93" s="785">
        <f>87026+2742.5</f>
        <v>89768.5</v>
      </c>
      <c r="D93" s="781">
        <v>1538</v>
      </c>
      <c r="E93" s="785">
        <v>76716.8</v>
      </c>
      <c r="F93" s="782">
        <f>3285+55</f>
        <v>3340</v>
      </c>
      <c r="G93" s="785">
        <f>163742.8+2742.5</f>
        <v>166485.3</v>
      </c>
      <c r="H93" s="786">
        <f>27350028.5+509386.5</f>
        <v>27859415</v>
      </c>
      <c r="I93" s="786">
        <f>H93/G93</f>
        <v>167.3385878512998</v>
      </c>
      <c r="J93" s="262"/>
    </row>
    <row r="94" spans="1:10" ht="18" customHeight="1">
      <c r="A94" s="780" t="s">
        <v>1340</v>
      </c>
      <c r="B94" s="781">
        <v>45</v>
      </c>
      <c r="C94" s="785">
        <v>2238.5</v>
      </c>
      <c r="D94" s="781">
        <v>0</v>
      </c>
      <c r="E94" s="785">
        <v>0</v>
      </c>
      <c r="F94" s="781">
        <v>45</v>
      </c>
      <c r="G94" s="785">
        <v>2238.5</v>
      </c>
      <c r="H94" s="786" t="s">
        <v>1675</v>
      </c>
      <c r="I94" s="786">
        <v>77.34</v>
      </c>
      <c r="J94" s="262"/>
    </row>
    <row r="95" spans="1:10" ht="18" customHeight="1">
      <c r="A95" s="780" t="s">
        <v>489</v>
      </c>
      <c r="B95" s="781">
        <v>30</v>
      </c>
      <c r="C95" s="785">
        <v>1495.5</v>
      </c>
      <c r="D95" s="781">
        <v>0</v>
      </c>
      <c r="E95" s="785">
        <v>0</v>
      </c>
      <c r="F95" s="781">
        <v>30</v>
      </c>
      <c r="G95" s="785">
        <v>1495.5</v>
      </c>
      <c r="H95" s="786" t="s">
        <v>1676</v>
      </c>
      <c r="I95" s="786">
        <v>194.07</v>
      </c>
      <c r="J95" s="262"/>
    </row>
    <row r="96" spans="1:10" ht="18" customHeight="1">
      <c r="A96" s="780" t="s">
        <v>1421</v>
      </c>
      <c r="B96" s="781">
        <v>10</v>
      </c>
      <c r="C96" s="785">
        <v>500</v>
      </c>
      <c r="D96" s="781">
        <v>0</v>
      </c>
      <c r="E96" s="785">
        <v>0</v>
      </c>
      <c r="F96" s="781">
        <v>10</v>
      </c>
      <c r="G96" s="785">
        <v>500</v>
      </c>
      <c r="H96" s="786">
        <v>41500</v>
      </c>
      <c r="I96" s="786">
        <v>83</v>
      </c>
      <c r="J96" s="262"/>
    </row>
    <row r="97" spans="1:10" ht="18" customHeight="1">
      <c r="A97" s="780" t="s">
        <v>530</v>
      </c>
      <c r="B97" s="781">
        <v>10</v>
      </c>
      <c r="C97" s="785">
        <v>495.5</v>
      </c>
      <c r="D97" s="781">
        <v>0</v>
      </c>
      <c r="E97" s="785">
        <v>0</v>
      </c>
      <c r="F97" s="781">
        <v>10</v>
      </c>
      <c r="G97" s="785">
        <v>495.5</v>
      </c>
      <c r="H97" s="786">
        <v>61937.5</v>
      </c>
      <c r="I97" s="786">
        <v>125</v>
      </c>
      <c r="J97" s="262"/>
    </row>
    <row r="98" spans="1:10" ht="18" customHeight="1">
      <c r="A98" s="780" t="s">
        <v>101</v>
      </c>
      <c r="B98" s="781">
        <v>472</v>
      </c>
      <c r="C98" s="785">
        <v>23222.5</v>
      </c>
      <c r="D98" s="781">
        <v>0</v>
      </c>
      <c r="E98" s="785">
        <v>0</v>
      </c>
      <c r="F98" s="781">
        <v>472</v>
      </c>
      <c r="G98" s="785">
        <v>23222.5</v>
      </c>
      <c r="H98" s="786" t="s">
        <v>1677</v>
      </c>
      <c r="I98" s="786">
        <v>117.74</v>
      </c>
      <c r="J98" s="262"/>
    </row>
    <row r="99" spans="1:10" ht="18" customHeight="1">
      <c r="A99" s="780" t="s">
        <v>103</v>
      </c>
      <c r="B99" s="781">
        <v>54</v>
      </c>
      <c r="C99" s="785">
        <v>2697</v>
      </c>
      <c r="D99" s="781">
        <v>0</v>
      </c>
      <c r="E99" s="785">
        <v>0</v>
      </c>
      <c r="F99" s="781">
        <v>54</v>
      </c>
      <c r="G99" s="785">
        <v>2697</v>
      </c>
      <c r="H99" s="786" t="s">
        <v>1678</v>
      </c>
      <c r="I99" s="786">
        <v>288.4</v>
      </c>
      <c r="J99" s="262"/>
    </row>
    <row r="100" spans="1:10" ht="18" customHeight="1">
      <c r="A100" s="780" t="s">
        <v>552</v>
      </c>
      <c r="B100" s="781">
        <v>295</v>
      </c>
      <c r="C100" s="785">
        <v>14708</v>
      </c>
      <c r="D100" s="781">
        <v>0</v>
      </c>
      <c r="E100" s="785">
        <v>0</v>
      </c>
      <c r="F100" s="781">
        <v>295</v>
      </c>
      <c r="G100" s="785">
        <v>14708</v>
      </c>
      <c r="H100" s="786" t="s">
        <v>1679</v>
      </c>
      <c r="I100" s="786">
        <v>170.59</v>
      </c>
      <c r="J100" s="262"/>
    </row>
    <row r="101" spans="1:10" ht="18" customHeight="1">
      <c r="A101" s="780" t="s">
        <v>578</v>
      </c>
      <c r="B101" s="781">
        <v>310</v>
      </c>
      <c r="C101" s="785">
        <v>15449</v>
      </c>
      <c r="D101" s="781">
        <v>200</v>
      </c>
      <c r="E101" s="785">
        <v>9984</v>
      </c>
      <c r="F101" s="781">
        <v>510</v>
      </c>
      <c r="G101" s="785">
        <v>25433</v>
      </c>
      <c r="H101" s="786" t="s">
        <v>1681</v>
      </c>
      <c r="I101" s="786">
        <v>146.31</v>
      </c>
      <c r="J101" s="262"/>
    </row>
    <row r="102" spans="1:10" ht="18" customHeight="1">
      <c r="A102" s="780" t="s">
        <v>107</v>
      </c>
      <c r="B102" s="781">
        <v>20</v>
      </c>
      <c r="C102" s="785">
        <v>998.5</v>
      </c>
      <c r="D102" s="781">
        <v>0</v>
      </c>
      <c r="E102" s="785">
        <v>0</v>
      </c>
      <c r="F102" s="781">
        <v>20</v>
      </c>
      <c r="G102" s="785">
        <v>998.5</v>
      </c>
      <c r="H102" s="786" t="s">
        <v>1682</v>
      </c>
      <c r="I102" s="786">
        <v>333.46</v>
      </c>
      <c r="J102" s="262"/>
    </row>
    <row r="103" spans="1:10" ht="18" customHeight="1">
      <c r="A103" s="780" t="s">
        <v>490</v>
      </c>
      <c r="B103" s="783"/>
      <c r="C103" s="785">
        <v>0</v>
      </c>
      <c r="D103" s="781">
        <v>5</v>
      </c>
      <c r="E103" s="785">
        <v>249.2</v>
      </c>
      <c r="F103" s="781">
        <v>5</v>
      </c>
      <c r="G103" s="785">
        <v>249.2</v>
      </c>
      <c r="H103" s="786">
        <v>49840</v>
      </c>
      <c r="I103" s="786">
        <v>200</v>
      </c>
      <c r="J103" s="262"/>
    </row>
    <row r="104" spans="1:10" ht="18" customHeight="1">
      <c r="A104" s="780" t="s">
        <v>395</v>
      </c>
      <c r="B104" s="781">
        <v>10</v>
      </c>
      <c r="C104" s="785">
        <v>498.5</v>
      </c>
      <c r="D104" s="781">
        <v>33</v>
      </c>
      <c r="E104" s="785">
        <v>1646.4</v>
      </c>
      <c r="F104" s="781">
        <v>43</v>
      </c>
      <c r="G104" s="785">
        <v>2144.9</v>
      </c>
      <c r="H104" s="786" t="s">
        <v>1683</v>
      </c>
      <c r="I104" s="786">
        <v>239.93</v>
      </c>
      <c r="J104" s="262"/>
    </row>
    <row r="105" spans="1:10" ht="18" customHeight="1">
      <c r="A105" s="780" t="s">
        <v>271</v>
      </c>
      <c r="B105" s="781">
        <v>239</v>
      </c>
      <c r="C105" s="785">
        <v>11921.5</v>
      </c>
      <c r="D105" s="781">
        <v>0</v>
      </c>
      <c r="E105" s="785">
        <v>0</v>
      </c>
      <c r="F105" s="781">
        <v>239</v>
      </c>
      <c r="G105" s="785">
        <v>11921.5</v>
      </c>
      <c r="H105" s="786" t="s">
        <v>1684</v>
      </c>
      <c r="I105" s="786">
        <v>259.52</v>
      </c>
      <c r="J105" s="262"/>
    </row>
    <row r="106" spans="1:10" ht="18" customHeight="1">
      <c r="A106" s="780" t="s">
        <v>1112</v>
      </c>
      <c r="B106" s="781">
        <v>20</v>
      </c>
      <c r="C106" s="785">
        <v>997</v>
      </c>
      <c r="D106" s="781">
        <v>0</v>
      </c>
      <c r="E106" s="785">
        <v>0</v>
      </c>
      <c r="F106" s="781">
        <v>20</v>
      </c>
      <c r="G106" s="785">
        <v>997</v>
      </c>
      <c r="H106" s="786" t="s">
        <v>391</v>
      </c>
      <c r="I106" s="786">
        <v>126</v>
      </c>
      <c r="J106" s="262"/>
    </row>
    <row r="107" spans="1:10" ht="18" customHeight="1">
      <c r="A107" s="780" t="s">
        <v>194</v>
      </c>
      <c r="B107" s="787">
        <v>395</v>
      </c>
      <c r="C107" s="788">
        <v>19679.5</v>
      </c>
      <c r="D107" s="787">
        <v>0</v>
      </c>
      <c r="E107" s="788">
        <v>0</v>
      </c>
      <c r="F107" s="787">
        <v>395</v>
      </c>
      <c r="G107" s="788">
        <v>19679.5</v>
      </c>
      <c r="H107" s="789" t="s">
        <v>1685</v>
      </c>
      <c r="I107" s="789">
        <v>200.18</v>
      </c>
      <c r="J107" s="262"/>
    </row>
    <row r="108" spans="1:10" ht="18" customHeight="1">
      <c r="A108" s="784" t="s">
        <v>14</v>
      </c>
      <c r="B108" s="790">
        <f>B109-B9</f>
        <v>119794</v>
      </c>
      <c r="C108" s="788">
        <v>5973096.5</v>
      </c>
      <c r="D108" s="791">
        <v>24563</v>
      </c>
      <c r="E108" s="788">
        <v>1225619.7</v>
      </c>
      <c r="F108" s="790">
        <v>144357</v>
      </c>
      <c r="G108" s="788">
        <v>7198716.2</v>
      </c>
      <c r="H108" s="789">
        <v>1207648479.77</v>
      </c>
      <c r="I108" s="789">
        <v>167.76</v>
      </c>
      <c r="J108" s="262"/>
    </row>
    <row r="109" spans="1:10" ht="18" customHeight="1">
      <c r="A109" s="784" t="s">
        <v>17</v>
      </c>
      <c r="B109" s="790">
        <v>120194</v>
      </c>
      <c r="C109" s="788" t="s">
        <v>1686</v>
      </c>
      <c r="D109" s="791">
        <v>24568</v>
      </c>
      <c r="E109" s="788" t="s">
        <v>1687</v>
      </c>
      <c r="F109" s="790">
        <v>144762</v>
      </c>
      <c r="G109" s="788" t="s">
        <v>1688</v>
      </c>
      <c r="H109" s="789">
        <v>1209594058.272</v>
      </c>
      <c r="I109" s="789">
        <v>167.56</v>
      </c>
      <c r="J109" s="262"/>
    </row>
    <row r="110" spans="1:10" ht="18" customHeight="1">
      <c r="A110" s="699"/>
      <c r="B110" s="700"/>
      <c r="C110" s="701"/>
      <c r="D110" s="700"/>
      <c r="E110" s="701"/>
      <c r="F110" s="700"/>
      <c r="G110" s="701"/>
      <c r="H110" s="702"/>
      <c r="I110" s="702"/>
      <c r="J110" s="262"/>
    </row>
    <row r="111" spans="1:11" ht="18" customHeight="1">
      <c r="A111" s="699"/>
      <c r="B111" s="700"/>
      <c r="C111" s="701"/>
      <c r="D111" s="700"/>
      <c r="E111" s="701"/>
      <c r="F111" s="700"/>
      <c r="G111" s="701"/>
      <c r="H111" s="712"/>
      <c r="I111" s="698" t="s">
        <v>119</v>
      </c>
      <c r="J111" s="262"/>
      <c r="K111" s="779"/>
    </row>
    <row r="112" spans="1:10" ht="18" customHeight="1">
      <c r="A112" s="699"/>
      <c r="B112" s="700"/>
      <c r="C112" s="701"/>
      <c r="D112" s="701"/>
      <c r="E112" s="701"/>
      <c r="F112" s="700"/>
      <c r="G112" s="701"/>
      <c r="H112" s="376"/>
      <c r="I112" s="713" t="s">
        <v>121</v>
      </c>
      <c r="J112" s="262"/>
    </row>
  </sheetData>
  <sheetProtection/>
  <printOptions/>
  <pageMargins left="0.7" right="0.29" top="1.33" bottom="0.5" header="0.3" footer="0.3"/>
  <pageSetup horizontalDpi="600" verticalDpi="600" orientation="portrait" scale="80" r:id="rId1"/>
  <headerFooter>
    <oddHeader>&amp;L&amp;D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9.140625" style="378" customWidth="1"/>
    <col min="2" max="2" width="6.7109375" style="31" customWidth="1"/>
    <col min="3" max="3" width="10.28125" style="360" customWidth="1"/>
    <col min="4" max="4" width="5.00390625" style="31" customWidth="1"/>
    <col min="5" max="5" width="9.7109375" style="244" customWidth="1"/>
    <col min="6" max="6" width="7.57421875" style="31" customWidth="1"/>
    <col min="7" max="7" width="11.28125" style="360" customWidth="1"/>
    <col min="8" max="8" width="14.421875" style="48" customWidth="1"/>
    <col min="9" max="9" width="9.7109375" style="48" customWidth="1"/>
    <col min="10" max="14" width="8.8515625" style="378" customWidth="1"/>
    <col min="15" max="15" width="12.7109375" style="378" bestFit="1" customWidth="1"/>
    <col min="16" max="16384" width="8.8515625" style="378" customWidth="1"/>
  </cols>
  <sheetData>
    <row r="1" spans="1:10" ht="13.5" customHeight="1">
      <c r="A1" s="263" t="s">
        <v>1516</v>
      </c>
      <c r="B1" s="264"/>
      <c r="C1" s="265"/>
      <c r="D1" s="264"/>
      <c r="E1" s="266"/>
      <c r="F1" s="264"/>
      <c r="G1" s="265"/>
      <c r="H1" s="267"/>
      <c r="I1" s="267"/>
      <c r="J1" s="262"/>
    </row>
    <row r="2" spans="1:10" ht="13.5" customHeight="1">
      <c r="A2" s="263" t="s">
        <v>1517</v>
      </c>
      <c r="B2" s="264"/>
      <c r="C2" s="265"/>
      <c r="D2" s="264"/>
      <c r="E2" s="266"/>
      <c r="F2" s="264"/>
      <c r="G2" s="265"/>
      <c r="H2" s="267"/>
      <c r="I2" s="267"/>
      <c r="J2" s="262"/>
    </row>
    <row r="3" spans="1:10" ht="13.5" customHeight="1">
      <c r="A3" s="263" t="s">
        <v>110</v>
      </c>
      <c r="B3" s="264"/>
      <c r="C3" s="265"/>
      <c r="D3" s="264"/>
      <c r="E3" s="266"/>
      <c r="F3" s="264"/>
      <c r="G3" s="265"/>
      <c r="H3" s="267"/>
      <c r="I3" s="267"/>
      <c r="J3" s="262"/>
    </row>
    <row r="4" spans="1:10" ht="13.5" customHeight="1">
      <c r="A4" s="263" t="s">
        <v>5</v>
      </c>
      <c r="B4" s="264"/>
      <c r="C4" s="265"/>
      <c r="D4" s="264"/>
      <c r="E4" s="266"/>
      <c r="F4" s="264"/>
      <c r="G4" s="265"/>
      <c r="H4" s="267"/>
      <c r="I4" s="267"/>
      <c r="J4" s="262"/>
    </row>
    <row r="5" spans="1:10" ht="13.5" customHeight="1">
      <c r="A5" s="263" t="s">
        <v>6</v>
      </c>
      <c r="B5" s="264"/>
      <c r="C5" s="265"/>
      <c r="D5" s="264"/>
      <c r="E5" s="268"/>
      <c r="F5" s="264"/>
      <c r="G5" s="265"/>
      <c r="H5" s="267"/>
      <c r="I5" s="267"/>
      <c r="J5" s="262"/>
    </row>
    <row r="6" spans="1:10" ht="13.5" customHeight="1">
      <c r="A6" s="263" t="s">
        <v>111</v>
      </c>
      <c r="B6" s="264"/>
      <c r="C6" s="265"/>
      <c r="D6" s="264"/>
      <c r="E6" s="266"/>
      <c r="F6" s="264"/>
      <c r="G6" s="265"/>
      <c r="H6" s="267"/>
      <c r="I6" s="267"/>
      <c r="J6" s="262"/>
    </row>
    <row r="7" spans="1:10" ht="13.5" customHeight="1">
      <c r="A7" s="263" t="s">
        <v>112</v>
      </c>
      <c r="B7" s="264"/>
      <c r="C7" s="265"/>
      <c r="D7" s="264"/>
      <c r="E7" s="269" t="s">
        <v>113</v>
      </c>
      <c r="F7" s="264"/>
      <c r="G7" s="265"/>
      <c r="H7" s="267"/>
      <c r="I7" s="267"/>
      <c r="J7" s="262"/>
    </row>
    <row r="8" spans="1:10" ht="13.5" customHeight="1">
      <c r="A8" s="315" t="s">
        <v>1518</v>
      </c>
      <c r="B8" s="270"/>
      <c r="C8" s="271"/>
      <c r="D8" s="270"/>
      <c r="E8" s="272"/>
      <c r="F8" s="270"/>
      <c r="G8" s="271"/>
      <c r="H8" s="273"/>
      <c r="I8" s="273"/>
      <c r="J8" s="262"/>
    </row>
    <row r="9" spans="1:10" ht="13.5" customHeight="1">
      <c r="A9" s="274"/>
      <c r="B9" s="275" t="s">
        <v>45</v>
      </c>
      <c r="C9" s="276"/>
      <c r="D9" s="275" t="s">
        <v>46</v>
      </c>
      <c r="E9" s="276"/>
      <c r="F9" s="275"/>
      <c r="G9" s="277" t="s">
        <v>47</v>
      </c>
      <c r="H9" s="278"/>
      <c r="I9" s="278"/>
      <c r="J9" s="262"/>
    </row>
    <row r="10" spans="1:10" ht="13.5" customHeight="1">
      <c r="A10" s="279" t="s">
        <v>461</v>
      </c>
      <c r="B10" s="280" t="s">
        <v>49</v>
      </c>
      <c r="C10" s="281" t="s">
        <v>50</v>
      </c>
      <c r="D10" s="280" t="s">
        <v>49</v>
      </c>
      <c r="E10" s="281" t="s">
        <v>50</v>
      </c>
      <c r="F10" s="280" t="s">
        <v>49</v>
      </c>
      <c r="G10" s="281" t="s">
        <v>50</v>
      </c>
      <c r="H10" s="282" t="s">
        <v>51</v>
      </c>
      <c r="I10" s="282" t="s">
        <v>52</v>
      </c>
      <c r="J10" s="262"/>
    </row>
    <row r="11" spans="1:10" s="3" customFormat="1" ht="13.5" customHeight="1">
      <c r="A11" s="667" t="s">
        <v>578</v>
      </c>
      <c r="B11" s="668">
        <v>30</v>
      </c>
      <c r="C11" s="669">
        <v>1491</v>
      </c>
      <c r="D11" s="668">
        <v>0</v>
      </c>
      <c r="E11" s="669">
        <v>0</v>
      </c>
      <c r="F11" s="668">
        <v>30</v>
      </c>
      <c r="G11" s="669">
        <v>1491</v>
      </c>
      <c r="H11" s="670">
        <v>102879</v>
      </c>
      <c r="I11" s="670">
        <v>69</v>
      </c>
      <c r="J11" s="660"/>
    </row>
    <row r="12" spans="1:10" ht="13.5" customHeight="1">
      <c r="A12" s="274" t="s">
        <v>14</v>
      </c>
      <c r="B12" s="304">
        <f aca="true" t="shared" si="0" ref="B12:I12">SUM(B11)</f>
        <v>30</v>
      </c>
      <c r="C12" s="303">
        <f t="shared" si="0"/>
        <v>1491</v>
      </c>
      <c r="D12" s="304">
        <f t="shared" si="0"/>
        <v>0</v>
      </c>
      <c r="E12" s="303">
        <f t="shared" si="0"/>
        <v>0</v>
      </c>
      <c r="F12" s="304">
        <f t="shared" si="0"/>
        <v>30</v>
      </c>
      <c r="G12" s="303">
        <f t="shared" si="0"/>
        <v>1491</v>
      </c>
      <c r="H12" s="301">
        <f>SUM(H11)</f>
        <v>102879</v>
      </c>
      <c r="I12" s="301">
        <f t="shared" si="0"/>
        <v>69</v>
      </c>
      <c r="J12" s="262"/>
    </row>
    <row r="13" spans="1:10" ht="13.5" customHeight="1">
      <c r="A13" s="279" t="s">
        <v>462</v>
      </c>
      <c r="B13" s="280" t="s">
        <v>49</v>
      </c>
      <c r="C13" s="281" t="s">
        <v>50</v>
      </c>
      <c r="D13" s="280" t="s">
        <v>49</v>
      </c>
      <c r="E13" s="281" t="s">
        <v>50</v>
      </c>
      <c r="F13" s="280" t="s">
        <v>49</v>
      </c>
      <c r="G13" s="281" t="s">
        <v>50</v>
      </c>
      <c r="H13" s="282" t="s">
        <v>51</v>
      </c>
      <c r="I13" s="282" t="s">
        <v>52</v>
      </c>
      <c r="J13" s="262"/>
    </row>
    <row r="14" spans="1:10" ht="13.5" customHeight="1">
      <c r="A14" s="283" t="s">
        <v>53</v>
      </c>
      <c r="B14" s="671">
        <v>530</v>
      </c>
      <c r="C14" s="277">
        <v>26425</v>
      </c>
      <c r="D14" s="671">
        <v>0</v>
      </c>
      <c r="E14" s="277">
        <v>0</v>
      </c>
      <c r="F14" s="671">
        <v>530</v>
      </c>
      <c r="G14" s="277">
        <v>26425</v>
      </c>
      <c r="H14" s="284" t="s">
        <v>1519</v>
      </c>
      <c r="I14" s="284">
        <v>106.77</v>
      </c>
      <c r="J14" s="262"/>
    </row>
    <row r="15" spans="1:10" ht="13.5" customHeight="1">
      <c r="A15" s="283" t="s">
        <v>572</v>
      </c>
      <c r="B15" s="671">
        <v>90</v>
      </c>
      <c r="C15" s="277">
        <v>4488</v>
      </c>
      <c r="D15" s="671">
        <v>0</v>
      </c>
      <c r="E15" s="277">
        <v>0</v>
      </c>
      <c r="F15" s="671">
        <v>90</v>
      </c>
      <c r="G15" s="277">
        <v>4488</v>
      </c>
      <c r="H15" s="284" t="s">
        <v>1520</v>
      </c>
      <c r="I15" s="284">
        <v>175.35</v>
      </c>
      <c r="J15" s="262"/>
    </row>
    <row r="16" spans="1:10" ht="13.5" customHeight="1">
      <c r="A16" s="283" t="s">
        <v>322</v>
      </c>
      <c r="B16" s="671">
        <v>41</v>
      </c>
      <c r="C16" s="277">
        <v>2030.5</v>
      </c>
      <c r="D16" s="671">
        <v>85</v>
      </c>
      <c r="E16" s="277">
        <v>4229.7</v>
      </c>
      <c r="F16" s="671">
        <v>126</v>
      </c>
      <c r="G16" s="277">
        <v>6260.2</v>
      </c>
      <c r="H16" s="284" t="s">
        <v>1521</v>
      </c>
      <c r="I16" s="284">
        <v>141.83</v>
      </c>
      <c r="J16" s="262"/>
    </row>
    <row r="17" spans="1:10" ht="13.5" customHeight="1">
      <c r="A17" s="283" t="s">
        <v>469</v>
      </c>
      <c r="B17" s="672"/>
      <c r="C17" s="277">
        <v>0</v>
      </c>
      <c r="D17" s="671">
        <v>85</v>
      </c>
      <c r="E17" s="277">
        <v>4238</v>
      </c>
      <c r="F17" s="671">
        <v>85</v>
      </c>
      <c r="G17" s="277">
        <v>4238</v>
      </c>
      <c r="H17" s="284" t="s">
        <v>1522</v>
      </c>
      <c r="I17" s="284">
        <v>112.13</v>
      </c>
      <c r="J17" s="262"/>
    </row>
    <row r="18" spans="1:10" ht="13.5" customHeight="1">
      <c r="A18" s="283" t="s">
        <v>128</v>
      </c>
      <c r="B18" s="671">
        <f>80+10</f>
        <v>90</v>
      </c>
      <c r="C18" s="277">
        <f>3974.5+498.5</f>
        <v>4473</v>
      </c>
      <c r="D18" s="671">
        <v>135</v>
      </c>
      <c r="E18" s="277">
        <v>6731</v>
      </c>
      <c r="F18" s="671">
        <f>215+10</f>
        <v>225</v>
      </c>
      <c r="G18" s="277">
        <f>10705.5+498.5</f>
        <v>11204</v>
      </c>
      <c r="H18" s="284">
        <f>1273236.8+37387.5</f>
        <v>1310624.3</v>
      </c>
      <c r="I18" s="284">
        <f>H18/G18</f>
        <v>116.97824883970011</v>
      </c>
      <c r="J18" s="262"/>
    </row>
    <row r="19" spans="1:10" ht="13.5" customHeight="1">
      <c r="A19" s="283" t="s">
        <v>171</v>
      </c>
      <c r="B19" s="671">
        <v>55</v>
      </c>
      <c r="C19" s="277">
        <v>2736.5</v>
      </c>
      <c r="D19" s="671">
        <v>0</v>
      </c>
      <c r="E19" s="277">
        <v>0</v>
      </c>
      <c r="F19" s="671">
        <v>55</v>
      </c>
      <c r="G19" s="277">
        <v>2736.5</v>
      </c>
      <c r="H19" s="284" t="s">
        <v>1523</v>
      </c>
      <c r="I19" s="284">
        <v>101.22</v>
      </c>
      <c r="J19" s="262"/>
    </row>
    <row r="20" spans="1:10" ht="13.5" customHeight="1">
      <c r="A20" s="283" t="s">
        <v>57</v>
      </c>
      <c r="B20" s="671">
        <v>70</v>
      </c>
      <c r="C20" s="277">
        <v>3489.5</v>
      </c>
      <c r="D20" s="671">
        <v>0</v>
      </c>
      <c r="E20" s="277">
        <v>0</v>
      </c>
      <c r="F20" s="671">
        <v>70</v>
      </c>
      <c r="G20" s="277">
        <v>3489.5</v>
      </c>
      <c r="H20" s="284" t="s">
        <v>1524</v>
      </c>
      <c r="I20" s="284">
        <v>105.36</v>
      </c>
      <c r="J20" s="262"/>
    </row>
    <row r="21" spans="1:10" ht="13.5" customHeight="1">
      <c r="A21" s="283" t="s">
        <v>174</v>
      </c>
      <c r="B21" s="671">
        <f>110+50</f>
        <v>160</v>
      </c>
      <c r="C21" s="277">
        <f>5488+2495.5</f>
        <v>7983.5</v>
      </c>
      <c r="D21" s="671">
        <v>0</v>
      </c>
      <c r="E21" s="277">
        <v>0</v>
      </c>
      <c r="F21" s="671">
        <f>110+50</f>
        <v>160</v>
      </c>
      <c r="G21" s="277">
        <f>5488+2495.5</f>
        <v>7983.5</v>
      </c>
      <c r="H21" s="284">
        <f>669579.5+217102.5</f>
        <v>886682</v>
      </c>
      <c r="I21" s="284">
        <f>H21/G21</f>
        <v>111.06432016033068</v>
      </c>
      <c r="J21" s="262"/>
    </row>
    <row r="22" spans="1:10" ht="13.5" customHeight="1">
      <c r="A22" s="283" t="s">
        <v>475</v>
      </c>
      <c r="B22" s="671">
        <v>80</v>
      </c>
      <c r="C22" s="277">
        <v>3985</v>
      </c>
      <c r="D22" s="671">
        <v>0</v>
      </c>
      <c r="E22" s="277">
        <v>0</v>
      </c>
      <c r="F22" s="671">
        <v>80</v>
      </c>
      <c r="G22" s="277">
        <v>3985</v>
      </c>
      <c r="H22" s="284" t="s">
        <v>1525</v>
      </c>
      <c r="I22" s="284">
        <v>180.26</v>
      </c>
      <c r="J22" s="262"/>
    </row>
    <row r="23" spans="1:10" ht="13.5" customHeight="1">
      <c r="A23" s="283" t="s">
        <v>61</v>
      </c>
      <c r="B23" s="671">
        <v>45</v>
      </c>
      <c r="C23" s="277">
        <v>2248.5</v>
      </c>
      <c r="D23" s="671">
        <v>0</v>
      </c>
      <c r="E23" s="277">
        <v>0</v>
      </c>
      <c r="F23" s="671">
        <v>45</v>
      </c>
      <c r="G23" s="277">
        <v>2248.5</v>
      </c>
      <c r="H23" s="284" t="s">
        <v>1526</v>
      </c>
      <c r="I23" s="284">
        <v>95.11</v>
      </c>
      <c r="J23" s="262"/>
    </row>
    <row r="24" spans="1:10" ht="13.5" customHeight="1">
      <c r="A24" s="283" t="s">
        <v>63</v>
      </c>
      <c r="B24" s="671">
        <v>21</v>
      </c>
      <c r="C24" s="277">
        <v>1039.5</v>
      </c>
      <c r="D24" s="671">
        <v>0</v>
      </c>
      <c r="E24" s="277">
        <v>0</v>
      </c>
      <c r="F24" s="671">
        <v>21</v>
      </c>
      <c r="G24" s="277">
        <v>1039.5</v>
      </c>
      <c r="H24" s="284" t="s">
        <v>1527</v>
      </c>
      <c r="I24" s="284">
        <v>256.63</v>
      </c>
      <c r="J24" s="262"/>
    </row>
    <row r="25" spans="1:10" ht="13.5" customHeight="1">
      <c r="A25" s="283" t="s">
        <v>872</v>
      </c>
      <c r="B25" s="671">
        <v>10</v>
      </c>
      <c r="C25" s="277">
        <v>498</v>
      </c>
      <c r="D25" s="671">
        <v>80</v>
      </c>
      <c r="E25" s="277">
        <v>3983.2</v>
      </c>
      <c r="F25" s="671">
        <v>90</v>
      </c>
      <c r="G25" s="277">
        <v>4481.2</v>
      </c>
      <c r="H25" s="284" t="s">
        <v>1528</v>
      </c>
      <c r="I25" s="284">
        <v>84.15</v>
      </c>
      <c r="J25" s="262"/>
    </row>
    <row r="26" spans="1:10" ht="13.5" customHeight="1">
      <c r="A26" s="283" t="s">
        <v>329</v>
      </c>
      <c r="B26" s="671">
        <v>31</v>
      </c>
      <c r="C26" s="277">
        <v>1550</v>
      </c>
      <c r="D26" s="671">
        <v>0</v>
      </c>
      <c r="E26" s="277">
        <v>0</v>
      </c>
      <c r="F26" s="671">
        <v>31</v>
      </c>
      <c r="G26" s="277">
        <v>1550</v>
      </c>
      <c r="H26" s="284" t="s">
        <v>1529</v>
      </c>
      <c r="I26" s="284">
        <v>244.81</v>
      </c>
      <c r="J26" s="262"/>
    </row>
    <row r="27" spans="1:10" ht="13.5" customHeight="1">
      <c r="A27" s="283" t="s">
        <v>67</v>
      </c>
      <c r="B27" s="671">
        <v>60</v>
      </c>
      <c r="C27" s="277">
        <v>2998.5</v>
      </c>
      <c r="D27" s="671">
        <v>55</v>
      </c>
      <c r="E27" s="277">
        <v>2743</v>
      </c>
      <c r="F27" s="671">
        <v>115</v>
      </c>
      <c r="G27" s="277">
        <v>5741.5</v>
      </c>
      <c r="H27" s="284" t="s">
        <v>1530</v>
      </c>
      <c r="I27" s="284">
        <v>121.72</v>
      </c>
      <c r="J27" s="262"/>
    </row>
    <row r="28" spans="1:10" ht="13.5" customHeight="1">
      <c r="A28" s="283" t="s">
        <v>69</v>
      </c>
      <c r="B28" s="671">
        <v>365</v>
      </c>
      <c r="C28" s="277">
        <v>18181</v>
      </c>
      <c r="D28" s="671">
        <v>0</v>
      </c>
      <c r="E28" s="277">
        <v>0</v>
      </c>
      <c r="F28" s="671">
        <v>365</v>
      </c>
      <c r="G28" s="277">
        <v>18181</v>
      </c>
      <c r="H28" s="284" t="s">
        <v>1531</v>
      </c>
      <c r="I28" s="284">
        <v>100.76</v>
      </c>
      <c r="J28" s="262"/>
    </row>
    <row r="29" spans="1:10" ht="13.5" customHeight="1">
      <c r="A29" s="283" t="s">
        <v>71</v>
      </c>
      <c r="B29" s="671">
        <v>750</v>
      </c>
      <c r="C29" s="277">
        <v>37398</v>
      </c>
      <c r="D29" s="671">
        <v>90</v>
      </c>
      <c r="E29" s="277">
        <v>4491.6</v>
      </c>
      <c r="F29" s="671">
        <v>840</v>
      </c>
      <c r="G29" s="277">
        <v>41889.6</v>
      </c>
      <c r="H29" s="284" t="s">
        <v>1532</v>
      </c>
      <c r="I29" s="284">
        <v>110.84</v>
      </c>
      <c r="J29" s="262"/>
    </row>
    <row r="30" spans="1:10" ht="13.5" customHeight="1">
      <c r="A30" s="283" t="s">
        <v>648</v>
      </c>
      <c r="B30" s="671">
        <v>40</v>
      </c>
      <c r="C30" s="277">
        <v>1995.5</v>
      </c>
      <c r="D30" s="671">
        <v>10</v>
      </c>
      <c r="E30" s="277">
        <v>498.4</v>
      </c>
      <c r="F30" s="671">
        <v>50</v>
      </c>
      <c r="G30" s="277">
        <v>2493.9</v>
      </c>
      <c r="H30" s="284" t="s">
        <v>1533</v>
      </c>
      <c r="I30" s="284">
        <v>141.07</v>
      </c>
      <c r="J30" s="262"/>
    </row>
    <row r="31" spans="1:10" ht="13.5" customHeight="1">
      <c r="A31" s="283" t="s">
        <v>1019</v>
      </c>
      <c r="B31" s="671">
        <v>60</v>
      </c>
      <c r="C31" s="277">
        <v>2985</v>
      </c>
      <c r="D31" s="671">
        <v>20</v>
      </c>
      <c r="E31" s="277">
        <v>995.6</v>
      </c>
      <c r="F31" s="671">
        <v>80</v>
      </c>
      <c r="G31" s="277">
        <v>3980.6</v>
      </c>
      <c r="H31" s="284" t="s">
        <v>1534</v>
      </c>
      <c r="I31" s="284">
        <v>140.14</v>
      </c>
      <c r="J31" s="262"/>
    </row>
    <row r="32" spans="1:10" ht="13.5" customHeight="1">
      <c r="A32" s="283" t="s">
        <v>73</v>
      </c>
      <c r="B32" s="671">
        <v>80</v>
      </c>
      <c r="C32" s="277">
        <v>3976</v>
      </c>
      <c r="D32" s="671">
        <v>0</v>
      </c>
      <c r="E32" s="277">
        <v>0</v>
      </c>
      <c r="F32" s="671">
        <v>80</v>
      </c>
      <c r="G32" s="277">
        <v>3976</v>
      </c>
      <c r="H32" s="284" t="s">
        <v>1535</v>
      </c>
      <c r="I32" s="284">
        <v>162.42</v>
      </c>
      <c r="J32" s="262"/>
    </row>
    <row r="33" spans="1:10" ht="13.5" customHeight="1">
      <c r="A33" s="283" t="s">
        <v>75</v>
      </c>
      <c r="B33" s="671">
        <v>40</v>
      </c>
      <c r="C33" s="277">
        <v>1992.5</v>
      </c>
      <c r="D33" s="671">
        <v>0</v>
      </c>
      <c r="E33" s="277">
        <v>0</v>
      </c>
      <c r="F33" s="671">
        <v>40</v>
      </c>
      <c r="G33" s="277">
        <v>1992.5</v>
      </c>
      <c r="H33" s="284" t="s">
        <v>1536</v>
      </c>
      <c r="I33" s="284">
        <v>128.94</v>
      </c>
      <c r="J33" s="262"/>
    </row>
    <row r="34" spans="1:10" ht="13.5" customHeight="1">
      <c r="A34" s="283" t="s">
        <v>77</v>
      </c>
      <c r="B34" s="671">
        <v>140</v>
      </c>
      <c r="C34" s="277">
        <v>6968</v>
      </c>
      <c r="D34" s="671">
        <v>50</v>
      </c>
      <c r="E34" s="277">
        <v>2486.4</v>
      </c>
      <c r="F34" s="671">
        <v>190</v>
      </c>
      <c r="G34" s="277">
        <v>9454.4</v>
      </c>
      <c r="H34" s="284" t="s">
        <v>1537</v>
      </c>
      <c r="I34" s="284">
        <v>106.45</v>
      </c>
      <c r="J34" s="262"/>
    </row>
    <row r="35" spans="1:10" ht="13.5" customHeight="1">
      <c r="A35" s="283" t="s">
        <v>79</v>
      </c>
      <c r="B35" s="672"/>
      <c r="C35" s="277">
        <v>0</v>
      </c>
      <c r="D35" s="671">
        <v>25</v>
      </c>
      <c r="E35" s="277">
        <v>1246.8</v>
      </c>
      <c r="F35" s="671">
        <v>25</v>
      </c>
      <c r="G35" s="277">
        <v>1246.8</v>
      </c>
      <c r="H35" s="284" t="s">
        <v>1538</v>
      </c>
      <c r="I35" s="284">
        <v>98.01</v>
      </c>
      <c r="J35" s="262"/>
    </row>
    <row r="36" spans="1:10" ht="13.5" customHeight="1">
      <c r="A36" s="283" t="s">
        <v>81</v>
      </c>
      <c r="B36" s="671">
        <f>240+20</f>
        <v>260</v>
      </c>
      <c r="C36" s="277">
        <f>11961+995.5</f>
        <v>12956.5</v>
      </c>
      <c r="D36" s="671">
        <v>0</v>
      </c>
      <c r="E36" s="277">
        <v>0</v>
      </c>
      <c r="F36" s="671">
        <f>240+20</f>
        <v>260</v>
      </c>
      <c r="G36" s="277">
        <f>11961+995.5</f>
        <v>12956.5</v>
      </c>
      <c r="H36" s="284">
        <f>1416955+90101</f>
        <v>1507056</v>
      </c>
      <c r="I36" s="284">
        <f>H36/G36</f>
        <v>116.31659784664068</v>
      </c>
      <c r="J36" s="262"/>
    </row>
    <row r="37" spans="1:10" ht="13.5" customHeight="1">
      <c r="A37" s="283" t="s">
        <v>83</v>
      </c>
      <c r="B37" s="671">
        <v>270</v>
      </c>
      <c r="C37" s="277">
        <v>13451.5</v>
      </c>
      <c r="D37" s="671">
        <v>40</v>
      </c>
      <c r="E37" s="277">
        <v>1993</v>
      </c>
      <c r="F37" s="671">
        <v>310</v>
      </c>
      <c r="G37" s="277">
        <v>15444.5</v>
      </c>
      <c r="H37" s="284" t="s">
        <v>1539</v>
      </c>
      <c r="I37" s="284">
        <v>114.07</v>
      </c>
      <c r="J37" s="262"/>
    </row>
    <row r="38" spans="1:10" ht="13.5" customHeight="1">
      <c r="A38" s="283" t="s">
        <v>85</v>
      </c>
      <c r="B38" s="671">
        <v>10</v>
      </c>
      <c r="C38" s="277">
        <v>497</v>
      </c>
      <c r="D38" s="671">
        <v>85</v>
      </c>
      <c r="E38" s="277">
        <v>4233.5</v>
      </c>
      <c r="F38" s="671">
        <v>95</v>
      </c>
      <c r="G38" s="277">
        <v>4730.5</v>
      </c>
      <c r="H38" s="284" t="s">
        <v>1540</v>
      </c>
      <c r="I38" s="284">
        <v>80.01</v>
      </c>
      <c r="J38" s="262"/>
    </row>
    <row r="39" spans="1:10" ht="13.5" customHeight="1">
      <c r="A39" s="283" t="s">
        <v>150</v>
      </c>
      <c r="B39" s="671">
        <v>121</v>
      </c>
      <c r="C39" s="277">
        <v>6029</v>
      </c>
      <c r="D39" s="671">
        <v>10</v>
      </c>
      <c r="E39" s="277">
        <v>499.2</v>
      </c>
      <c r="F39" s="671">
        <v>131</v>
      </c>
      <c r="G39" s="277">
        <v>6528.2</v>
      </c>
      <c r="H39" s="284" t="s">
        <v>1541</v>
      </c>
      <c r="I39" s="284">
        <v>116.71</v>
      </c>
      <c r="J39" s="262"/>
    </row>
    <row r="40" spans="1:10" ht="13.5" customHeight="1">
      <c r="A40" s="283" t="s">
        <v>226</v>
      </c>
      <c r="B40" s="672"/>
      <c r="C40" s="277">
        <v>0</v>
      </c>
      <c r="D40" s="671">
        <v>25</v>
      </c>
      <c r="E40" s="277">
        <v>1246</v>
      </c>
      <c r="F40" s="671">
        <v>25</v>
      </c>
      <c r="G40" s="277">
        <v>1246</v>
      </c>
      <c r="H40" s="284" t="s">
        <v>1542</v>
      </c>
      <c r="I40" s="284">
        <v>140.82</v>
      </c>
      <c r="J40" s="262"/>
    </row>
    <row r="41" spans="1:10" ht="13.5" customHeight="1">
      <c r="A41" s="283" t="s">
        <v>155</v>
      </c>
      <c r="B41" s="671">
        <v>60</v>
      </c>
      <c r="C41" s="277">
        <v>2991</v>
      </c>
      <c r="D41" s="671">
        <v>0</v>
      </c>
      <c r="E41" s="277">
        <v>0</v>
      </c>
      <c r="F41" s="277">
        <v>60</v>
      </c>
      <c r="G41" s="277">
        <v>2991</v>
      </c>
      <c r="H41" s="284" t="s">
        <v>1543</v>
      </c>
      <c r="I41" s="673">
        <v>89.83</v>
      </c>
      <c r="J41" s="262"/>
    </row>
    <row r="42" spans="1:10" ht="13.5" customHeight="1">
      <c r="A42" s="283" t="s">
        <v>92</v>
      </c>
      <c r="B42" s="671">
        <v>11</v>
      </c>
      <c r="C42" s="277">
        <v>518</v>
      </c>
      <c r="D42" s="671">
        <v>10</v>
      </c>
      <c r="E42" s="277">
        <v>498</v>
      </c>
      <c r="F42" s="671">
        <v>21</v>
      </c>
      <c r="G42" s="277">
        <v>1016</v>
      </c>
      <c r="H42" s="284">
        <v>87230</v>
      </c>
      <c r="I42" s="284">
        <v>85.86</v>
      </c>
      <c r="J42" s="262"/>
    </row>
    <row r="43" spans="1:10" ht="13.5" customHeight="1">
      <c r="A43" s="283" t="s">
        <v>229</v>
      </c>
      <c r="B43" s="671">
        <f>60+90</f>
        <v>150</v>
      </c>
      <c r="C43" s="277">
        <f>2989+4477</f>
        <v>7466</v>
      </c>
      <c r="D43" s="671">
        <v>0</v>
      </c>
      <c r="E43" s="277">
        <v>0</v>
      </c>
      <c r="F43" s="671">
        <f>60+90</f>
        <v>150</v>
      </c>
      <c r="G43" s="277">
        <f>2989+4477</f>
        <v>7466</v>
      </c>
      <c r="H43" s="284">
        <f>252588+449269</f>
        <v>701857</v>
      </c>
      <c r="I43" s="284">
        <f>H43/G43</f>
        <v>94.00709884811144</v>
      </c>
      <c r="J43" s="262"/>
    </row>
    <row r="44" spans="1:10" ht="13.5" customHeight="1">
      <c r="A44" s="283" t="s">
        <v>187</v>
      </c>
      <c r="B44" s="671">
        <f>240+20</f>
        <v>260</v>
      </c>
      <c r="C44" s="277">
        <f>11943.5+998.5</f>
        <v>12942</v>
      </c>
      <c r="D44" s="671">
        <v>0</v>
      </c>
      <c r="E44" s="277">
        <v>0</v>
      </c>
      <c r="F44" s="671">
        <f>240+20</f>
        <v>260</v>
      </c>
      <c r="G44" s="277">
        <f>11943.5+998.5</f>
        <v>12942</v>
      </c>
      <c r="H44" s="284">
        <f>1093507+87380</f>
        <v>1180887</v>
      </c>
      <c r="I44" s="284">
        <f>H44/G44</f>
        <v>91.24455261937877</v>
      </c>
      <c r="J44" s="262"/>
    </row>
    <row r="45" spans="1:10" ht="13.5" customHeight="1">
      <c r="A45" s="283" t="s">
        <v>233</v>
      </c>
      <c r="B45" s="672"/>
      <c r="C45" s="277">
        <v>0</v>
      </c>
      <c r="D45" s="671">
        <v>10</v>
      </c>
      <c r="E45" s="277">
        <v>498.7</v>
      </c>
      <c r="F45" s="671">
        <v>10</v>
      </c>
      <c r="G45" s="277">
        <v>498.7</v>
      </c>
      <c r="H45" s="284">
        <v>55355.7</v>
      </c>
      <c r="I45" s="284">
        <v>111</v>
      </c>
      <c r="J45" s="262"/>
    </row>
    <row r="46" spans="1:10" ht="13.5" customHeight="1">
      <c r="A46" s="283" t="s">
        <v>190</v>
      </c>
      <c r="B46" s="671">
        <v>20</v>
      </c>
      <c r="C46" s="277">
        <v>1000</v>
      </c>
      <c r="D46" s="671">
        <v>0</v>
      </c>
      <c r="E46" s="277">
        <v>0</v>
      </c>
      <c r="F46" s="671">
        <v>20</v>
      </c>
      <c r="G46" s="277">
        <v>1000</v>
      </c>
      <c r="H46" s="284" t="s">
        <v>1544</v>
      </c>
      <c r="I46" s="284">
        <v>201</v>
      </c>
      <c r="J46" s="262"/>
    </row>
    <row r="47" spans="1:10" ht="13.5" customHeight="1">
      <c r="A47" s="283" t="s">
        <v>266</v>
      </c>
      <c r="B47" s="672"/>
      <c r="C47" s="277">
        <v>0</v>
      </c>
      <c r="D47" s="671">
        <v>80</v>
      </c>
      <c r="E47" s="277">
        <v>3988</v>
      </c>
      <c r="F47" s="671">
        <v>80</v>
      </c>
      <c r="G47" s="277">
        <v>3988</v>
      </c>
      <c r="H47" s="284" t="s">
        <v>1545</v>
      </c>
      <c r="I47" s="284">
        <v>97.58</v>
      </c>
      <c r="J47" s="262"/>
    </row>
    <row r="48" spans="1:10" ht="13.5" customHeight="1">
      <c r="A48" s="283" t="s">
        <v>96</v>
      </c>
      <c r="B48" s="671">
        <v>65</v>
      </c>
      <c r="C48" s="277">
        <v>3224.5</v>
      </c>
      <c r="D48" s="671">
        <v>0</v>
      </c>
      <c r="E48" s="277">
        <v>0</v>
      </c>
      <c r="F48" s="671">
        <v>65</v>
      </c>
      <c r="G48" s="277">
        <v>3224.5</v>
      </c>
      <c r="H48" s="284" t="s">
        <v>1546</v>
      </c>
      <c r="I48" s="284">
        <v>100.66</v>
      </c>
      <c r="J48" s="262"/>
    </row>
    <row r="49" spans="1:10" ht="13.5" customHeight="1">
      <c r="A49" s="283" t="s">
        <v>98</v>
      </c>
      <c r="B49" s="671">
        <v>120</v>
      </c>
      <c r="C49" s="277">
        <f>5476+498.5</f>
        <v>5974.5</v>
      </c>
      <c r="D49" s="671">
        <v>0</v>
      </c>
      <c r="E49" s="277">
        <v>0</v>
      </c>
      <c r="F49" s="277">
        <v>120</v>
      </c>
      <c r="G49" s="277">
        <f>5476+498.5</f>
        <v>5974.5</v>
      </c>
      <c r="H49" s="284">
        <f>1059162.5+49850</f>
        <v>1109012.5</v>
      </c>
      <c r="I49" s="674">
        <f>H49/G49</f>
        <v>185.62432002678048</v>
      </c>
      <c r="J49" s="262"/>
    </row>
    <row r="50" spans="1:10" ht="13.5" customHeight="1">
      <c r="A50" s="283" t="s">
        <v>237</v>
      </c>
      <c r="B50" s="671">
        <v>85</v>
      </c>
      <c r="C50" s="277">
        <v>4248.5</v>
      </c>
      <c r="D50" s="671">
        <v>0</v>
      </c>
      <c r="E50" s="277">
        <v>0</v>
      </c>
      <c r="F50" s="671">
        <v>85</v>
      </c>
      <c r="G50" s="277">
        <v>4248.5</v>
      </c>
      <c r="H50" s="284" t="s">
        <v>1547</v>
      </c>
      <c r="I50" s="284">
        <v>172.19</v>
      </c>
      <c r="J50" s="262"/>
    </row>
    <row r="51" spans="1:10" ht="13.5" customHeight="1">
      <c r="A51" s="283" t="s">
        <v>99</v>
      </c>
      <c r="B51" s="671">
        <v>260</v>
      </c>
      <c r="C51" s="277">
        <v>12938.5</v>
      </c>
      <c r="D51" s="671">
        <v>0</v>
      </c>
      <c r="E51" s="277">
        <v>0</v>
      </c>
      <c r="F51" s="671">
        <v>260</v>
      </c>
      <c r="G51" s="277">
        <v>12938.5</v>
      </c>
      <c r="H51" s="284" t="s">
        <v>1548</v>
      </c>
      <c r="I51" s="284">
        <v>105.15</v>
      </c>
      <c r="J51" s="262"/>
    </row>
    <row r="52" spans="1:10" ht="13.5" customHeight="1">
      <c r="A52" s="283" t="s">
        <v>1340</v>
      </c>
      <c r="B52" s="675">
        <v>25</v>
      </c>
      <c r="C52" s="281">
        <v>1244.5</v>
      </c>
      <c r="D52" s="675">
        <v>0</v>
      </c>
      <c r="E52" s="281">
        <v>0</v>
      </c>
      <c r="F52" s="675">
        <v>25</v>
      </c>
      <c r="G52" s="281">
        <v>1244.5</v>
      </c>
      <c r="H52" s="282">
        <v>77192.5</v>
      </c>
      <c r="I52" s="282">
        <v>62.03</v>
      </c>
      <c r="J52" s="262"/>
    </row>
    <row r="53" spans="1:10" ht="13.5" customHeight="1">
      <c r="A53" s="283" t="s">
        <v>14</v>
      </c>
      <c r="B53" s="675">
        <v>4475</v>
      </c>
      <c r="C53" s="281">
        <v>222923</v>
      </c>
      <c r="D53" s="675">
        <v>895</v>
      </c>
      <c r="E53" s="281">
        <v>44600.1</v>
      </c>
      <c r="F53" s="675">
        <v>5370</v>
      </c>
      <c r="G53" s="281">
        <v>267523.1</v>
      </c>
      <c r="H53" s="282">
        <v>30955173</v>
      </c>
      <c r="I53" s="282">
        <v>115.71028071968365</v>
      </c>
      <c r="J53" s="262"/>
    </row>
    <row r="54" spans="1:10" ht="13.5" customHeight="1">
      <c r="A54" s="283" t="s">
        <v>17</v>
      </c>
      <c r="B54" s="676">
        <v>4505</v>
      </c>
      <c r="C54" s="281" t="s">
        <v>1549</v>
      </c>
      <c r="D54" s="675">
        <v>895</v>
      </c>
      <c r="E54" s="281">
        <v>44600.1</v>
      </c>
      <c r="F54" s="280">
        <v>5400</v>
      </c>
      <c r="G54" s="281" t="s">
        <v>1550</v>
      </c>
      <c r="H54" s="282" t="s">
        <v>1551</v>
      </c>
      <c r="I54" s="677">
        <v>115.45</v>
      </c>
      <c r="J54" s="262"/>
    </row>
    <row r="55" spans="1:9" ht="13.5" customHeight="1">
      <c r="A55" s="313"/>
      <c r="B55" s="275"/>
      <c r="C55" s="277"/>
      <c r="D55" s="275"/>
      <c r="E55" s="277"/>
      <c r="F55" s="275"/>
      <c r="G55" s="277"/>
      <c r="H55" s="284"/>
      <c r="I55" s="284"/>
    </row>
    <row r="56" spans="1:9" ht="13.5" customHeight="1">
      <c r="A56" s="279"/>
      <c r="B56" s="289"/>
      <c r="C56" s="289"/>
      <c r="D56" s="289"/>
      <c r="E56" s="289"/>
      <c r="F56" s="274"/>
      <c r="G56" s="290"/>
      <c r="H56" s="291"/>
      <c r="I56" s="276" t="s">
        <v>119</v>
      </c>
    </row>
    <row r="57" spans="1:9" ht="13.5" customHeight="1">
      <c r="A57" s="279"/>
      <c r="B57" s="289"/>
      <c r="C57" s="276"/>
      <c r="D57" s="289"/>
      <c r="E57" s="290"/>
      <c r="F57" s="274"/>
      <c r="G57" s="290"/>
      <c r="H57" s="290"/>
      <c r="I57" s="678" t="s">
        <v>121</v>
      </c>
    </row>
    <row r="58" spans="1:9" ht="13.5" customHeight="1">
      <c r="A58" s="263" t="s">
        <v>117</v>
      </c>
      <c r="B58" s="289"/>
      <c r="C58" s="276"/>
      <c r="D58" s="289"/>
      <c r="E58" s="290"/>
      <c r="F58" s="289"/>
      <c r="G58" s="276"/>
      <c r="H58" s="278"/>
      <c r="I58" s="278"/>
    </row>
    <row r="59" spans="1:9" ht="13.5" customHeight="1">
      <c r="A59" s="263" t="s">
        <v>118</v>
      </c>
      <c r="B59" s="289"/>
      <c r="C59" s="276"/>
      <c r="D59" s="289"/>
      <c r="E59" s="290"/>
      <c r="F59" s="289"/>
      <c r="G59" s="276"/>
      <c r="H59" s="278"/>
      <c r="I59" s="278"/>
    </row>
    <row r="60" spans="1:9" ht="13.5" customHeight="1">
      <c r="A60" s="263" t="s">
        <v>120</v>
      </c>
      <c r="B60" s="289"/>
      <c r="C60" s="276"/>
      <c r="D60" s="289"/>
      <c r="E60" s="290"/>
      <c r="F60" s="289"/>
      <c r="G60" s="276"/>
      <c r="H60" s="278"/>
      <c r="I60" s="278"/>
    </row>
    <row r="61" spans="1:9" ht="13.5" customHeight="1">
      <c r="A61" s="263" t="s">
        <v>122</v>
      </c>
      <c r="B61" s="289"/>
      <c r="C61" s="276"/>
      <c r="D61" s="289"/>
      <c r="E61" s="290"/>
      <c r="F61" s="289"/>
      <c r="G61" s="276"/>
      <c r="H61" s="278"/>
      <c r="I61" s="278"/>
    </row>
    <row r="62" spans="1:9" ht="13.5" customHeight="1">
      <c r="A62" s="263" t="s">
        <v>123</v>
      </c>
      <c r="B62" s="289"/>
      <c r="C62" s="276"/>
      <c r="D62" s="289"/>
      <c r="E62" s="290"/>
      <c r="F62" s="289"/>
      <c r="G62" s="276"/>
      <c r="H62" s="278"/>
      <c r="I62" s="278"/>
    </row>
    <row r="63" spans="1:9" ht="12.75" customHeight="1">
      <c r="A63" s="274"/>
      <c r="B63" s="289"/>
      <c r="C63" s="276"/>
      <c r="D63" s="289"/>
      <c r="E63" s="290"/>
      <c r="F63" s="289"/>
      <c r="G63" s="276"/>
      <c r="H63" s="278"/>
      <c r="I63" s="278"/>
    </row>
    <row r="64" spans="1:9" ht="12.75" customHeight="1">
      <c r="A64" s="274"/>
      <c r="B64" s="289"/>
      <c r="C64" s="276"/>
      <c r="D64" s="289"/>
      <c r="E64" s="290"/>
      <c r="F64" s="289"/>
      <c r="G64" s="276"/>
      <c r="H64" s="278"/>
      <c r="I64" s="278"/>
    </row>
    <row r="65" spans="1:9" ht="12.75" customHeight="1">
      <c r="A65" s="509"/>
      <c r="B65" s="512"/>
      <c r="C65" s="510"/>
      <c r="D65" s="512"/>
      <c r="E65" s="513"/>
      <c r="F65" s="512"/>
      <c r="G65" s="510"/>
      <c r="H65" s="511"/>
      <c r="I65" s="511"/>
    </row>
    <row r="66" spans="1:9" ht="12.75" customHeight="1">
      <c r="A66" s="509"/>
      <c r="B66" s="512"/>
      <c r="C66" s="510"/>
      <c r="D66" s="512"/>
      <c r="E66" s="513"/>
      <c r="F66" s="512"/>
      <c r="G66" s="510"/>
      <c r="H66" s="511"/>
      <c r="I66" s="511"/>
    </row>
    <row r="67" spans="1:9" ht="12.75" customHeight="1">
      <c r="A67" s="509"/>
      <c r="B67" s="512"/>
      <c r="C67" s="510"/>
      <c r="D67" s="512"/>
      <c r="E67" s="513"/>
      <c r="F67" s="512"/>
      <c r="G67" s="510"/>
      <c r="H67" s="511"/>
      <c r="I67" s="511"/>
    </row>
    <row r="68" spans="1:9" ht="12.75" customHeight="1">
      <c r="A68" s="509"/>
      <c r="B68" s="512"/>
      <c r="C68" s="510"/>
      <c r="D68" s="512"/>
      <c r="E68" s="513"/>
      <c r="F68" s="512"/>
      <c r="G68" s="510"/>
      <c r="H68" s="511"/>
      <c r="I68" s="511"/>
    </row>
    <row r="69" spans="1:9" ht="12.75" customHeight="1">
      <c r="A69" s="509"/>
      <c r="B69" s="512"/>
      <c r="C69" s="510"/>
      <c r="D69" s="512"/>
      <c r="E69" s="513"/>
      <c r="F69" s="512"/>
      <c r="G69" s="510"/>
      <c r="H69" s="511"/>
      <c r="I69" s="511"/>
    </row>
    <row r="70" spans="1:9" ht="12.75" customHeight="1">
      <c r="A70" s="509"/>
      <c r="B70" s="512"/>
      <c r="C70" s="510"/>
      <c r="D70" s="512"/>
      <c r="E70" s="513"/>
      <c r="F70" s="512"/>
      <c r="G70" s="510"/>
      <c r="H70" s="511"/>
      <c r="I70" s="511"/>
    </row>
    <row r="71" spans="1:9" ht="12.75" customHeight="1">
      <c r="A71" s="509"/>
      <c r="B71" s="512"/>
      <c r="C71" s="510"/>
      <c r="D71" s="512"/>
      <c r="E71" s="513"/>
      <c r="F71" s="512"/>
      <c r="G71" s="510"/>
      <c r="H71" s="511"/>
      <c r="I71" s="511"/>
    </row>
    <row r="72" spans="1:9" ht="12.75" customHeight="1">
      <c r="A72" s="509"/>
      <c r="B72" s="512"/>
      <c r="C72" s="510"/>
      <c r="D72" s="512"/>
      <c r="E72" s="513"/>
      <c r="F72" s="512"/>
      <c r="G72" s="510"/>
      <c r="H72" s="511"/>
      <c r="I72" s="511"/>
    </row>
    <row r="73" spans="1:9" ht="12.75" customHeight="1">
      <c r="A73" s="509"/>
      <c r="B73" s="512"/>
      <c r="C73" s="510"/>
      <c r="D73" s="512"/>
      <c r="E73" s="513"/>
      <c r="F73" s="512"/>
      <c r="G73" s="510"/>
      <c r="H73" s="511"/>
      <c r="I73" s="511"/>
    </row>
    <row r="74" spans="1:9" ht="12.75" customHeight="1">
      <c r="A74" s="509"/>
      <c r="B74" s="512"/>
      <c r="C74" s="510"/>
      <c r="D74" s="512"/>
      <c r="E74" s="513"/>
      <c r="F74" s="512"/>
      <c r="G74" s="510"/>
      <c r="H74" s="511"/>
      <c r="I74" s="511"/>
    </row>
    <row r="75" spans="1:9" ht="12.75" customHeight="1">
      <c r="A75" s="509"/>
      <c r="B75" s="512"/>
      <c r="C75" s="510"/>
      <c r="D75" s="512"/>
      <c r="E75" s="513"/>
      <c r="F75" s="512"/>
      <c r="G75" s="510"/>
      <c r="H75" s="511"/>
      <c r="I75" s="511"/>
    </row>
    <row r="76" spans="1:9" ht="12.75" customHeight="1">
      <c r="A76" s="509"/>
      <c r="B76" s="512"/>
      <c r="C76" s="510"/>
      <c r="D76" s="512"/>
      <c r="E76" s="513"/>
      <c r="F76" s="512"/>
      <c r="G76" s="510"/>
      <c r="H76" s="511"/>
      <c r="I76" s="511"/>
    </row>
    <row r="77" spans="1:9" ht="12.75" customHeight="1">
      <c r="A77" s="509"/>
      <c r="B77" s="512"/>
      <c r="C77" s="510"/>
      <c r="D77" s="512"/>
      <c r="E77" s="513"/>
      <c r="F77" s="512"/>
      <c r="G77" s="510"/>
      <c r="H77" s="511"/>
      <c r="I77" s="511"/>
    </row>
    <row r="78" spans="1:9" ht="12.75" customHeight="1">
      <c r="A78" s="509"/>
      <c r="B78" s="512"/>
      <c r="C78" s="510"/>
      <c r="D78" s="512"/>
      <c r="E78" s="513"/>
      <c r="F78" s="512"/>
      <c r="G78" s="510"/>
      <c r="H78" s="511"/>
      <c r="I78" s="511"/>
    </row>
    <row r="79" spans="1:9" ht="12.75" customHeight="1">
      <c r="A79" s="509"/>
      <c r="B79" s="512"/>
      <c r="C79" s="510"/>
      <c r="D79" s="512"/>
      <c r="E79" s="513"/>
      <c r="F79" s="512"/>
      <c r="G79" s="510"/>
      <c r="H79" s="511"/>
      <c r="I79" s="511"/>
    </row>
  </sheetData>
  <sheetProtection/>
  <printOptions/>
  <pageMargins left="0.7" right="0.29" top="0.83" bottom="0.5" header="0.3" footer="0.3"/>
  <pageSetup horizontalDpi="600" verticalDpi="600" orientation="portrait" paperSize="9" scale="85" r:id="rId1"/>
  <headerFooter>
    <oddHeader>&amp;L&amp;D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44"/>
  <sheetViews>
    <sheetView showGridLines="0" zoomScalePageLayoutView="0" workbookViewId="0" topLeftCell="A1">
      <selection activeCell="D34" sqref="D34"/>
    </sheetView>
  </sheetViews>
  <sheetFormatPr defaultColWidth="9.140625" defaultRowHeight="12.75" customHeight="1"/>
  <cols>
    <col min="1" max="1" width="26.7109375" style="4" customWidth="1"/>
    <col min="2" max="2" width="7.57421875" style="4" customWidth="1"/>
    <col min="3" max="3" width="12.57421875" style="6" customWidth="1"/>
    <col min="4" max="4" width="12.7109375" style="5" customWidth="1"/>
    <col min="5" max="5" width="15.00390625" style="6" customWidth="1"/>
    <col min="6" max="6" width="14.421875" style="5" customWidth="1"/>
    <col min="7" max="7" width="9.8515625" style="5" customWidth="1"/>
    <col min="8" max="8" width="9.57421875" style="5" customWidth="1"/>
    <col min="9" max="9" width="9.28125" style="3" customWidth="1"/>
    <col min="10" max="10" width="21.28125" style="378" bestFit="1" customWidth="1"/>
    <col min="11" max="16384" width="9.140625" style="378" customWidth="1"/>
  </cols>
  <sheetData>
    <row r="1" spans="1:9" ht="12.75" customHeight="1">
      <c r="A1" s="380"/>
      <c r="B1" s="380"/>
      <c r="C1" s="381" t="s">
        <v>3</v>
      </c>
      <c r="D1" s="382"/>
      <c r="E1" s="383"/>
      <c r="F1" s="384"/>
      <c r="G1" s="382"/>
      <c r="H1" s="380"/>
      <c r="I1" s="15"/>
    </row>
    <row r="2" spans="1:9" ht="12.75" customHeight="1">
      <c r="A2" s="380"/>
      <c r="B2" s="380"/>
      <c r="C2" s="381" t="s">
        <v>4</v>
      </c>
      <c r="D2" s="385"/>
      <c r="E2" s="381"/>
      <c r="F2" s="384"/>
      <c r="G2" s="382"/>
      <c r="H2" s="380"/>
      <c r="I2" s="15"/>
    </row>
    <row r="3" spans="1:9" ht="12.75" customHeight="1">
      <c r="A3" s="380"/>
      <c r="B3" s="380"/>
      <c r="C3" s="381" t="s">
        <v>33</v>
      </c>
      <c r="D3" s="385"/>
      <c r="E3" s="381"/>
      <c r="F3" s="384"/>
      <c r="G3" s="382"/>
      <c r="H3" s="380"/>
      <c r="I3" s="15"/>
    </row>
    <row r="4" spans="1:9" ht="12.75" customHeight="1">
      <c r="A4" s="386"/>
      <c r="B4" s="380"/>
      <c r="C4" s="381" t="s">
        <v>31</v>
      </c>
      <c r="D4" s="385"/>
      <c r="E4" s="381"/>
      <c r="F4" s="384"/>
      <c r="G4" s="387"/>
      <c r="H4" s="380"/>
      <c r="I4" s="15"/>
    </row>
    <row r="5" spans="1:9" ht="12.75" customHeight="1">
      <c r="A5" s="380"/>
      <c r="B5" s="386"/>
      <c r="C5" s="388"/>
      <c r="D5" s="387"/>
      <c r="E5" s="383" t="s">
        <v>1772</v>
      </c>
      <c r="F5" s="384"/>
      <c r="G5" s="387"/>
      <c r="H5" s="380"/>
      <c r="I5" s="15"/>
    </row>
    <row r="6" spans="1:9" ht="12.75" customHeight="1">
      <c r="A6" s="389" t="s">
        <v>39</v>
      </c>
      <c r="B6" s="386"/>
      <c r="C6" s="388"/>
      <c r="D6" s="387"/>
      <c r="E6" s="388"/>
      <c r="F6" s="384"/>
      <c r="G6" s="387"/>
      <c r="H6" s="380"/>
      <c r="I6" s="15"/>
    </row>
    <row r="7" spans="1:9" ht="12.75" customHeight="1">
      <c r="A7" s="390" t="s">
        <v>312</v>
      </c>
      <c r="B7" s="390"/>
      <c r="C7" s="856" t="s">
        <v>1771</v>
      </c>
      <c r="D7" s="856"/>
      <c r="E7" s="553" t="s">
        <v>1773</v>
      </c>
      <c r="F7" s="384"/>
      <c r="G7" s="382"/>
      <c r="H7" s="380"/>
      <c r="I7" s="15"/>
    </row>
    <row r="8" spans="1:9" ht="12.75" customHeight="1">
      <c r="A8" s="392" t="s">
        <v>243</v>
      </c>
      <c r="B8" s="380"/>
      <c r="C8" s="393" t="s">
        <v>0</v>
      </c>
      <c r="D8" s="394" t="s">
        <v>1</v>
      </c>
      <c r="E8" s="393" t="s">
        <v>0</v>
      </c>
      <c r="F8" s="394" t="s">
        <v>1</v>
      </c>
      <c r="G8" s="382"/>
      <c r="H8" s="380"/>
      <c r="I8" s="15"/>
    </row>
    <row r="9" spans="1:10" ht="12.75" customHeight="1">
      <c r="A9" s="389" t="s">
        <v>1348</v>
      </c>
      <c r="B9" s="380"/>
      <c r="C9" s="413">
        <v>0</v>
      </c>
      <c r="D9" s="400">
        <v>0</v>
      </c>
      <c r="E9" s="413">
        <v>2991.7</v>
      </c>
      <c r="F9" s="400">
        <v>77.01403884079286</v>
      </c>
      <c r="G9" s="382"/>
      <c r="H9" s="380"/>
      <c r="I9" s="15"/>
      <c r="J9" s="224"/>
    </row>
    <row r="10" spans="1:10" ht="12.75" customHeight="1">
      <c r="A10" s="389" t="s">
        <v>1207</v>
      </c>
      <c r="B10" s="380"/>
      <c r="C10" s="413">
        <v>0</v>
      </c>
      <c r="D10" s="400">
        <v>0</v>
      </c>
      <c r="E10" s="413">
        <v>33423.3</v>
      </c>
      <c r="F10" s="400">
        <v>101.98627903289022</v>
      </c>
      <c r="G10" s="382"/>
      <c r="H10" s="380"/>
      <c r="I10" s="15"/>
      <c r="J10" s="224"/>
    </row>
    <row r="11" spans="1:10" ht="12.75" customHeight="1">
      <c r="A11" s="389" t="s">
        <v>277</v>
      </c>
      <c r="B11" s="380"/>
      <c r="C11" s="413">
        <v>0</v>
      </c>
      <c r="D11" s="400">
        <v>0</v>
      </c>
      <c r="E11" s="413">
        <v>94088.19999999998</v>
      </c>
      <c r="F11" s="400">
        <v>120.92681335172742</v>
      </c>
      <c r="G11" s="382"/>
      <c r="H11" s="380"/>
      <c r="I11" s="15"/>
      <c r="J11" s="224"/>
    </row>
    <row r="12" spans="1:10" ht="12.75" customHeight="1">
      <c r="A12" s="389" t="s">
        <v>279</v>
      </c>
      <c r="B12" s="380"/>
      <c r="C12" s="413">
        <v>0</v>
      </c>
      <c r="D12" s="400">
        <v>0</v>
      </c>
      <c r="E12" s="413">
        <v>2991</v>
      </c>
      <c r="F12" s="400">
        <v>240.16666666666666</v>
      </c>
      <c r="G12" s="382"/>
      <c r="H12" s="380"/>
      <c r="I12" s="15"/>
      <c r="J12" s="224"/>
    </row>
    <row r="13" spans="1:10" ht="12.75" customHeight="1">
      <c r="A13" s="389" t="s">
        <v>278</v>
      </c>
      <c r="B13" s="380"/>
      <c r="C13" s="413">
        <v>1495.5</v>
      </c>
      <c r="D13" s="400">
        <v>104</v>
      </c>
      <c r="E13" s="413">
        <v>137731.8</v>
      </c>
      <c r="F13" s="400">
        <v>181.82803390357208</v>
      </c>
      <c r="G13" s="382"/>
      <c r="H13" s="380"/>
      <c r="I13" s="15"/>
      <c r="J13" s="224"/>
    </row>
    <row r="14" spans="1:10" ht="12.75" customHeight="1">
      <c r="A14" s="389" t="s">
        <v>1208</v>
      </c>
      <c r="B14" s="380"/>
      <c r="C14" s="413">
        <v>1491</v>
      </c>
      <c r="D14" s="400">
        <v>148.33333333333334</v>
      </c>
      <c r="E14" s="413">
        <v>58301.2</v>
      </c>
      <c r="F14" s="400">
        <v>178.99222142940457</v>
      </c>
      <c r="G14" s="382"/>
      <c r="H14" s="380"/>
      <c r="I14" s="15"/>
      <c r="J14" s="224"/>
    </row>
    <row r="15" spans="1:10" ht="12.75" customHeight="1">
      <c r="A15" s="389" t="s">
        <v>1349</v>
      </c>
      <c r="B15" s="380"/>
      <c r="C15" s="413">
        <v>0</v>
      </c>
      <c r="D15" s="400">
        <v>0</v>
      </c>
      <c r="E15" s="413">
        <v>8953</v>
      </c>
      <c r="F15" s="400">
        <v>152.20516028146992</v>
      </c>
      <c r="G15" s="382"/>
      <c r="H15" s="380"/>
      <c r="I15" s="15"/>
      <c r="J15" s="224"/>
    </row>
    <row r="16" spans="1:10" ht="12.75" customHeight="1">
      <c r="A16" s="389" t="s">
        <v>280</v>
      </c>
      <c r="B16" s="380"/>
      <c r="C16" s="413">
        <v>28393.8</v>
      </c>
      <c r="D16" s="400">
        <v>79.04042783988054</v>
      </c>
      <c r="E16" s="413">
        <v>415698.30000000005</v>
      </c>
      <c r="F16" s="400">
        <v>141.6598453734355</v>
      </c>
      <c r="G16" s="382"/>
      <c r="H16" s="380"/>
      <c r="I16" s="15"/>
      <c r="J16" s="224"/>
    </row>
    <row r="17" spans="1:10" ht="12.75" customHeight="1">
      <c r="A17" s="389" t="s">
        <v>281</v>
      </c>
      <c r="B17" s="380"/>
      <c r="C17" s="413">
        <v>0</v>
      </c>
      <c r="D17" s="400">
        <v>0</v>
      </c>
      <c r="E17" s="413">
        <v>108539.89999999998</v>
      </c>
      <c r="F17" s="400">
        <v>112.63542439232027</v>
      </c>
      <c r="G17" s="382"/>
      <c r="H17" s="380"/>
      <c r="I17" s="15"/>
      <c r="J17" s="224"/>
    </row>
    <row r="18" spans="1:10" ht="12.75" customHeight="1">
      <c r="A18" s="389" t="s">
        <v>1209</v>
      </c>
      <c r="B18" s="380"/>
      <c r="C18" s="413">
        <v>0</v>
      </c>
      <c r="D18" s="400">
        <v>0</v>
      </c>
      <c r="E18" s="413">
        <v>4234.9</v>
      </c>
      <c r="F18" s="400">
        <v>88.83397482821319</v>
      </c>
      <c r="G18" s="382"/>
      <c r="H18" s="380"/>
      <c r="I18" s="15"/>
      <c r="J18" s="224"/>
    </row>
    <row r="19" spans="1:10" ht="12.75" customHeight="1">
      <c r="A19" s="389" t="s">
        <v>1210</v>
      </c>
      <c r="B19" s="380"/>
      <c r="C19" s="413">
        <v>0</v>
      </c>
      <c r="D19" s="400">
        <v>0</v>
      </c>
      <c r="E19" s="413">
        <v>11966.1</v>
      </c>
      <c r="F19" s="400">
        <v>100</v>
      </c>
      <c r="G19" s="382"/>
      <c r="H19" s="380"/>
      <c r="I19" s="15"/>
      <c r="J19" s="224"/>
    </row>
    <row r="20" spans="1:10" ht="12.75" customHeight="1">
      <c r="A20" s="389" t="s">
        <v>1211</v>
      </c>
      <c r="B20" s="380"/>
      <c r="C20" s="413">
        <v>4992.4</v>
      </c>
      <c r="D20" s="400">
        <v>158.30043666372887</v>
      </c>
      <c r="E20" s="413">
        <v>48913.8</v>
      </c>
      <c r="F20" s="400">
        <v>184.8006861049438</v>
      </c>
      <c r="G20" s="382"/>
      <c r="H20" s="380"/>
      <c r="I20" s="15"/>
      <c r="J20" s="224"/>
    </row>
    <row r="21" spans="1:10" ht="12.75" customHeight="1">
      <c r="A21" s="389" t="s">
        <v>1212</v>
      </c>
      <c r="B21" s="380"/>
      <c r="C21" s="413">
        <v>0</v>
      </c>
      <c r="D21" s="400">
        <v>0</v>
      </c>
      <c r="E21" s="413">
        <v>52826.29999999999</v>
      </c>
      <c r="F21" s="400">
        <v>153.83063549784865</v>
      </c>
      <c r="G21" s="382"/>
      <c r="H21" s="380"/>
      <c r="I21" s="15"/>
      <c r="J21" s="224"/>
    </row>
    <row r="22" spans="1:10" ht="12.75" customHeight="1">
      <c r="A22" s="389" t="s">
        <v>282</v>
      </c>
      <c r="B22" s="380"/>
      <c r="C22" s="413">
        <v>6955</v>
      </c>
      <c r="D22" s="400">
        <v>113.50150970524803</v>
      </c>
      <c r="E22" s="413">
        <v>125745.69999999998</v>
      </c>
      <c r="F22" s="400">
        <v>155.3512032618213</v>
      </c>
      <c r="G22" s="382"/>
      <c r="H22" s="380"/>
      <c r="I22" s="15"/>
      <c r="J22" s="224"/>
    </row>
    <row r="23" spans="1:10" ht="12.75" customHeight="1">
      <c r="A23" s="389" t="s">
        <v>283</v>
      </c>
      <c r="B23" s="380"/>
      <c r="C23" s="413">
        <v>6156.5</v>
      </c>
      <c r="D23" s="400">
        <v>213.86104117599285</v>
      </c>
      <c r="E23" s="413">
        <v>614294.6000000002</v>
      </c>
      <c r="F23" s="400">
        <v>255.06697812417684</v>
      </c>
      <c r="G23" s="382"/>
      <c r="H23" s="380"/>
      <c r="I23" s="15"/>
      <c r="J23" s="224"/>
    </row>
    <row r="24" spans="1:10" ht="12.75" customHeight="1">
      <c r="A24" s="389" t="s">
        <v>284</v>
      </c>
      <c r="B24" s="380"/>
      <c r="C24" s="413">
        <v>495.5</v>
      </c>
      <c r="D24" s="400">
        <v>78</v>
      </c>
      <c r="E24" s="413">
        <v>46282.7</v>
      </c>
      <c r="F24" s="400">
        <v>104.0349504242406</v>
      </c>
      <c r="G24" s="382"/>
      <c r="H24" s="380"/>
      <c r="I24" s="15"/>
      <c r="J24" s="224"/>
    </row>
    <row r="25" spans="1:10" ht="12.75" customHeight="1">
      <c r="A25" s="389" t="s">
        <v>285</v>
      </c>
      <c r="B25" s="380"/>
      <c r="C25" s="413">
        <v>1486.5</v>
      </c>
      <c r="D25" s="400">
        <v>82</v>
      </c>
      <c r="E25" s="413">
        <v>131011.59999999998</v>
      </c>
      <c r="F25" s="400">
        <v>154.45712975034274</v>
      </c>
      <c r="G25" s="382"/>
      <c r="H25" s="380"/>
      <c r="I25" s="15"/>
      <c r="J25" s="224"/>
    </row>
    <row r="26" spans="1:10" ht="12.75" customHeight="1">
      <c r="A26" s="389" t="s">
        <v>1213</v>
      </c>
      <c r="B26" s="380"/>
      <c r="C26" s="413">
        <v>0</v>
      </c>
      <c r="D26" s="400">
        <v>0</v>
      </c>
      <c r="E26" s="413">
        <v>26885.8</v>
      </c>
      <c r="F26" s="400">
        <v>124.80598308400717</v>
      </c>
      <c r="G26" s="382"/>
      <c r="H26" s="380"/>
      <c r="I26" s="15"/>
      <c r="J26" s="224"/>
    </row>
    <row r="27" spans="1:10" ht="12.75" customHeight="1">
      <c r="A27" s="389" t="s">
        <v>286</v>
      </c>
      <c r="B27" s="380"/>
      <c r="C27" s="413">
        <v>5490.9</v>
      </c>
      <c r="D27" s="400">
        <v>58.99690396838405</v>
      </c>
      <c r="E27" s="413">
        <v>298129.30000000005</v>
      </c>
      <c r="F27" s="400">
        <v>189.72175462123312</v>
      </c>
      <c r="G27" s="382"/>
      <c r="H27" s="380"/>
      <c r="I27" s="15"/>
      <c r="J27" s="224"/>
    </row>
    <row r="28" spans="1:10" ht="12.75" customHeight="1">
      <c r="A28" s="389" t="s">
        <v>1214</v>
      </c>
      <c r="B28" s="380"/>
      <c r="C28" s="413">
        <v>0</v>
      </c>
      <c r="D28" s="400">
        <v>0</v>
      </c>
      <c r="E28" s="413">
        <v>12462.5</v>
      </c>
      <c r="F28" s="400">
        <v>193.64</v>
      </c>
      <c r="G28" s="382"/>
      <c r="H28" s="380"/>
      <c r="I28" s="15"/>
      <c r="J28" s="224"/>
    </row>
    <row r="29" spans="1:10" ht="12.75" customHeight="1">
      <c r="A29" s="389" t="s">
        <v>287</v>
      </c>
      <c r="B29" s="380"/>
      <c r="C29" s="413">
        <v>19132.3</v>
      </c>
      <c r="D29" s="400">
        <v>92.85511412637268</v>
      </c>
      <c r="E29" s="413">
        <v>279744.1</v>
      </c>
      <c r="F29" s="400">
        <v>144.07551580176312</v>
      </c>
      <c r="G29" s="382"/>
      <c r="H29" s="380"/>
      <c r="I29" s="15"/>
      <c r="J29" s="224"/>
    </row>
    <row r="30" spans="1:10" ht="12.75" customHeight="1">
      <c r="A30" s="389" t="s">
        <v>288</v>
      </c>
      <c r="B30" s="380"/>
      <c r="C30" s="413">
        <v>34374.1</v>
      </c>
      <c r="D30" s="400">
        <v>84.64536380588875</v>
      </c>
      <c r="E30" s="413">
        <v>622682.5</v>
      </c>
      <c r="F30" s="400">
        <v>154.50385356903396</v>
      </c>
      <c r="G30" s="382"/>
      <c r="H30" s="380"/>
      <c r="I30" s="15"/>
      <c r="J30" s="224"/>
    </row>
    <row r="31" spans="1:10" ht="12.75" customHeight="1">
      <c r="A31" s="389" t="s">
        <v>1215</v>
      </c>
      <c r="B31" s="380"/>
      <c r="C31" s="413">
        <v>0</v>
      </c>
      <c r="D31" s="400">
        <v>0</v>
      </c>
      <c r="E31" s="413">
        <v>12483.4</v>
      </c>
      <c r="F31" s="400">
        <v>128.42010990595512</v>
      </c>
      <c r="G31" s="382"/>
      <c r="H31" s="380"/>
      <c r="I31" s="15"/>
      <c r="J31" s="224"/>
    </row>
    <row r="32" spans="1:10" ht="12.75" customHeight="1">
      <c r="A32" s="389" t="s">
        <v>289</v>
      </c>
      <c r="B32" s="380"/>
      <c r="C32" s="413">
        <v>44940</v>
      </c>
      <c r="D32" s="400">
        <v>199.75647752558967</v>
      </c>
      <c r="E32" s="413">
        <v>595159.2999999999</v>
      </c>
      <c r="F32" s="400">
        <v>208.95512512364337</v>
      </c>
      <c r="G32" s="382"/>
      <c r="H32" s="380"/>
      <c r="I32" s="15"/>
      <c r="J32" s="224"/>
    </row>
    <row r="33" spans="1:10" ht="12.75" customHeight="1">
      <c r="A33" s="389" t="s">
        <v>290</v>
      </c>
      <c r="B33" s="380"/>
      <c r="C33" s="413">
        <v>498.7</v>
      </c>
      <c r="D33" s="400">
        <v>70</v>
      </c>
      <c r="E33" s="413">
        <v>67709.4</v>
      </c>
      <c r="F33" s="400">
        <v>97.69230860116913</v>
      </c>
      <c r="G33" s="382"/>
      <c r="H33" s="380"/>
      <c r="I33" s="15"/>
      <c r="J33" s="224"/>
    </row>
    <row r="34" spans="1:10" ht="12.75" customHeight="1">
      <c r="A34" s="389" t="s">
        <v>291</v>
      </c>
      <c r="B34" s="380"/>
      <c r="C34" s="413">
        <v>3488.7</v>
      </c>
      <c r="D34" s="400">
        <v>108.28036231260928</v>
      </c>
      <c r="E34" s="413">
        <v>263991.10000000003</v>
      </c>
      <c r="F34" s="400">
        <v>130.49689061487302</v>
      </c>
      <c r="G34" s="382"/>
      <c r="H34" s="380"/>
      <c r="I34" s="15"/>
      <c r="J34" s="224"/>
    </row>
    <row r="35" spans="1:10" ht="12.75" customHeight="1">
      <c r="A35" s="389" t="s">
        <v>292</v>
      </c>
      <c r="B35" s="380"/>
      <c r="C35" s="413">
        <v>0</v>
      </c>
      <c r="D35" s="400">
        <v>0</v>
      </c>
      <c r="E35" s="413">
        <v>149037.79999999996</v>
      </c>
      <c r="F35" s="400">
        <v>195.29814382659976</v>
      </c>
      <c r="G35" s="382"/>
      <c r="H35" s="380"/>
      <c r="I35" s="15"/>
      <c r="J35" s="224"/>
    </row>
    <row r="36" spans="1:10" ht="12.75" customHeight="1">
      <c r="A36" s="389" t="s">
        <v>294</v>
      </c>
      <c r="B36" s="380"/>
      <c r="C36" s="413">
        <v>0</v>
      </c>
      <c r="D36" s="400">
        <v>0</v>
      </c>
      <c r="E36" s="413">
        <v>21114.2</v>
      </c>
      <c r="F36" s="400">
        <v>88.11183942559983</v>
      </c>
      <c r="G36" s="382"/>
      <c r="H36" s="380"/>
      <c r="I36" s="15"/>
      <c r="J36" s="224"/>
    </row>
    <row r="37" spans="1:10" ht="12.75" customHeight="1">
      <c r="A37" s="389" t="s">
        <v>295</v>
      </c>
      <c r="B37" s="380"/>
      <c r="C37" s="413">
        <v>10461</v>
      </c>
      <c r="D37" s="400">
        <v>96.52733964248159</v>
      </c>
      <c r="E37" s="413">
        <v>233916.4</v>
      </c>
      <c r="F37" s="400">
        <v>102.95356759936456</v>
      </c>
      <c r="G37" s="382"/>
      <c r="H37" s="380"/>
      <c r="I37" s="15"/>
      <c r="J37" s="224"/>
    </row>
    <row r="38" spans="1:10" ht="12.75" customHeight="1">
      <c r="A38" s="389" t="s">
        <v>1216</v>
      </c>
      <c r="B38" s="380"/>
      <c r="C38" s="413">
        <v>497.6</v>
      </c>
      <c r="D38" s="400">
        <v>113</v>
      </c>
      <c r="E38" s="413">
        <v>12457.1</v>
      </c>
      <c r="F38" s="400">
        <v>157.7892848255212</v>
      </c>
      <c r="G38" s="382"/>
      <c r="H38" s="380"/>
      <c r="I38" s="15"/>
      <c r="J38" s="224"/>
    </row>
    <row r="39" spans="1:10" ht="12.75" customHeight="1">
      <c r="A39" s="389" t="s">
        <v>293</v>
      </c>
      <c r="B39" s="380"/>
      <c r="C39" s="413">
        <v>9473</v>
      </c>
      <c r="D39" s="400">
        <v>69.73625039586193</v>
      </c>
      <c r="E39" s="413">
        <v>244916.30000000002</v>
      </c>
      <c r="F39" s="400">
        <v>158.50497333170557</v>
      </c>
      <c r="G39" s="382"/>
      <c r="H39" s="380"/>
      <c r="I39" s="15"/>
      <c r="J39" s="224"/>
    </row>
    <row r="40" spans="1:10" ht="12.75" customHeight="1">
      <c r="A40" s="389" t="s">
        <v>1217</v>
      </c>
      <c r="B40" s="380"/>
      <c r="C40" s="413">
        <v>0</v>
      </c>
      <c r="D40" s="400">
        <v>0</v>
      </c>
      <c r="E40" s="413">
        <v>36357.3</v>
      </c>
      <c r="F40" s="400">
        <v>189.60530072365108</v>
      </c>
      <c r="G40" s="382"/>
      <c r="H40" s="380"/>
      <c r="I40" s="15"/>
      <c r="J40" s="224"/>
    </row>
    <row r="41" spans="1:10" ht="12.75" customHeight="1">
      <c r="A41" s="389" t="s">
        <v>1218</v>
      </c>
      <c r="B41" s="380"/>
      <c r="C41" s="413">
        <v>10461.4</v>
      </c>
      <c r="D41" s="400">
        <v>96.44191981952703</v>
      </c>
      <c r="E41" s="413">
        <v>53864.600000000006</v>
      </c>
      <c r="F41" s="400">
        <v>146.56315465073536</v>
      </c>
      <c r="G41" s="382"/>
      <c r="H41" s="380"/>
      <c r="I41" s="15"/>
      <c r="J41" s="224"/>
    </row>
    <row r="42" spans="1:10" ht="12.75" customHeight="1">
      <c r="A42" s="389" t="s">
        <v>296</v>
      </c>
      <c r="B42" s="380"/>
      <c r="C42" s="413">
        <v>21914.9</v>
      </c>
      <c r="D42" s="400">
        <v>80.41442580162355</v>
      </c>
      <c r="E42" s="413">
        <v>244826.50000000003</v>
      </c>
      <c r="F42" s="400">
        <v>126.46544430443596</v>
      </c>
      <c r="G42" s="382"/>
      <c r="H42" s="380"/>
      <c r="I42" s="15"/>
      <c r="J42" s="224"/>
    </row>
    <row r="43" spans="1:10" ht="12.75" customHeight="1">
      <c r="A43" s="389" t="s">
        <v>297</v>
      </c>
      <c r="B43" s="380"/>
      <c r="C43" s="413">
        <v>498</v>
      </c>
      <c r="D43" s="400">
        <v>93</v>
      </c>
      <c r="E43" s="413">
        <v>98934.59999999999</v>
      </c>
      <c r="F43" s="400">
        <v>104.98555510407886</v>
      </c>
      <c r="G43" s="382"/>
      <c r="H43" s="380"/>
      <c r="I43" s="15"/>
      <c r="J43" s="224"/>
    </row>
    <row r="44" spans="1:10" ht="12.75" customHeight="1">
      <c r="A44" s="389" t="s">
        <v>313</v>
      </c>
      <c r="B44" s="380"/>
      <c r="C44" s="413">
        <v>17057.5</v>
      </c>
      <c r="D44" s="400">
        <v>88.40363476476624</v>
      </c>
      <c r="E44" s="413">
        <v>112209.4</v>
      </c>
      <c r="F44" s="400">
        <v>139.50855454177636</v>
      </c>
      <c r="G44" s="382"/>
      <c r="H44" s="380"/>
      <c r="I44" s="15"/>
      <c r="J44" s="224"/>
    </row>
    <row r="45" spans="1:10" ht="12.75" customHeight="1">
      <c r="A45" s="389" t="s">
        <v>298</v>
      </c>
      <c r="B45" s="380"/>
      <c r="C45" s="413">
        <v>19188.4</v>
      </c>
      <c r="D45" s="400">
        <v>82.74517416772633</v>
      </c>
      <c r="E45" s="413">
        <v>666692.3</v>
      </c>
      <c r="F45" s="400">
        <v>155.34113968317916</v>
      </c>
      <c r="G45" s="382"/>
      <c r="H45" s="380"/>
      <c r="I45" s="15"/>
      <c r="J45" s="224"/>
    </row>
    <row r="46" spans="1:10" ht="12.75" customHeight="1">
      <c r="A46" s="389" t="s">
        <v>1219</v>
      </c>
      <c r="B46" s="380"/>
      <c r="C46" s="413">
        <v>1996.4</v>
      </c>
      <c r="D46" s="400">
        <v>150.50671208174714</v>
      </c>
      <c r="E46" s="413">
        <v>104312.49999999999</v>
      </c>
      <c r="F46" s="400">
        <v>184.21070053924507</v>
      </c>
      <c r="G46" s="382"/>
      <c r="H46" s="380"/>
      <c r="I46" s="15"/>
      <c r="J46" s="224"/>
    </row>
    <row r="47" spans="1:10" ht="12.75" customHeight="1">
      <c r="A47" s="389" t="s">
        <v>299</v>
      </c>
      <c r="B47" s="380"/>
      <c r="C47" s="413">
        <v>0</v>
      </c>
      <c r="D47" s="400">
        <v>0</v>
      </c>
      <c r="E47" s="413">
        <v>80739.99999999999</v>
      </c>
      <c r="F47" s="400">
        <v>114.11559326232353</v>
      </c>
      <c r="G47" s="382"/>
      <c r="H47" s="380"/>
      <c r="I47" s="15"/>
      <c r="J47" s="224"/>
    </row>
    <row r="48" spans="1:10" ht="12.75" customHeight="1">
      <c r="A48" s="389" t="s">
        <v>1220</v>
      </c>
      <c r="B48" s="380"/>
      <c r="C48" s="413">
        <v>0</v>
      </c>
      <c r="D48" s="400">
        <v>0</v>
      </c>
      <c r="E48" s="413">
        <v>17966.1</v>
      </c>
      <c r="F48" s="400">
        <v>108.66740694975537</v>
      </c>
      <c r="G48" s="382"/>
      <c r="H48" s="380"/>
      <c r="I48" s="15"/>
      <c r="J48" s="224"/>
    </row>
    <row r="49" spans="1:10" ht="12.75" customHeight="1">
      <c r="A49" s="389" t="s">
        <v>300</v>
      </c>
      <c r="B49" s="380"/>
      <c r="C49" s="413">
        <v>0</v>
      </c>
      <c r="D49" s="400">
        <v>0</v>
      </c>
      <c r="E49" s="413">
        <v>99051.2</v>
      </c>
      <c r="F49" s="400">
        <v>112.1195048621319</v>
      </c>
      <c r="G49" s="382"/>
      <c r="H49" s="380"/>
      <c r="I49" s="15"/>
      <c r="J49" s="224"/>
    </row>
    <row r="50" spans="1:10" ht="12.75" customHeight="1">
      <c r="A50" s="389" t="s">
        <v>301</v>
      </c>
      <c r="B50" s="380"/>
      <c r="C50" s="413">
        <v>31250.2</v>
      </c>
      <c r="D50" s="400">
        <v>137.22807534031782</v>
      </c>
      <c r="E50" s="413">
        <v>1023294.3999999999</v>
      </c>
      <c r="F50" s="400">
        <v>187.1679918310899</v>
      </c>
      <c r="G50" s="382"/>
      <c r="H50" s="380"/>
      <c r="I50" s="15"/>
      <c r="J50" s="224"/>
    </row>
    <row r="51" spans="1:10" ht="12.75" customHeight="1">
      <c r="A51" s="389" t="s">
        <v>302</v>
      </c>
      <c r="B51" s="380"/>
      <c r="C51" s="413">
        <v>9469.2</v>
      </c>
      <c r="D51" s="400">
        <v>100.16316056266632</v>
      </c>
      <c r="E51" s="413">
        <v>238309.60000000006</v>
      </c>
      <c r="F51" s="400">
        <v>106.25937058347627</v>
      </c>
      <c r="G51" s="382"/>
      <c r="H51" s="380"/>
      <c r="I51" s="15"/>
      <c r="J51" s="224"/>
    </row>
    <row r="52" spans="1:10" ht="12.75" customHeight="1">
      <c r="A52" s="389" t="s">
        <v>303</v>
      </c>
      <c r="B52" s="380"/>
      <c r="C52" s="413">
        <v>0</v>
      </c>
      <c r="D52" s="400">
        <v>0</v>
      </c>
      <c r="E52" s="413">
        <v>193431.7</v>
      </c>
      <c r="F52" s="400">
        <v>125.55463039408743</v>
      </c>
      <c r="G52" s="382"/>
      <c r="H52" s="380"/>
      <c r="I52" s="15"/>
      <c r="J52" s="224"/>
    </row>
    <row r="53" spans="1:10" ht="12.75" customHeight="1">
      <c r="A53" s="389" t="s">
        <v>314</v>
      </c>
      <c r="B53" s="380"/>
      <c r="C53" s="413">
        <v>3975.7</v>
      </c>
      <c r="D53" s="400">
        <v>73.99876751263929</v>
      </c>
      <c r="E53" s="413">
        <v>79028</v>
      </c>
      <c r="F53" s="400">
        <v>148.1377119501949</v>
      </c>
      <c r="G53" s="382"/>
      <c r="H53" s="380"/>
      <c r="I53" s="15"/>
      <c r="J53" s="224"/>
    </row>
    <row r="54" spans="1:10" ht="12.75" customHeight="1">
      <c r="A54" s="389" t="s">
        <v>1221</v>
      </c>
      <c r="B54" s="380"/>
      <c r="C54" s="501">
        <v>0</v>
      </c>
      <c r="D54" s="404">
        <v>0</v>
      </c>
      <c r="E54" s="501">
        <v>12413.2</v>
      </c>
      <c r="F54" s="404">
        <v>97.331026649051</v>
      </c>
      <c r="G54" s="382"/>
      <c r="H54" s="380"/>
      <c r="I54" s="15"/>
      <c r="J54" s="224"/>
    </row>
    <row r="55" spans="1:10" ht="12.75" customHeight="1">
      <c r="A55" s="389" t="s">
        <v>304</v>
      </c>
      <c r="B55" s="380"/>
      <c r="C55" s="501">
        <v>295634.2</v>
      </c>
      <c r="D55" s="404">
        <v>113.48143381246149</v>
      </c>
      <c r="E55" s="501">
        <v>7800114.699999999</v>
      </c>
      <c r="F55" s="404">
        <v>163.62603522996915</v>
      </c>
      <c r="G55" s="382"/>
      <c r="H55" s="380"/>
      <c r="I55" s="15"/>
      <c r="J55" s="224"/>
    </row>
    <row r="56" spans="1:10" ht="12.75" customHeight="1">
      <c r="A56" s="392" t="s">
        <v>36</v>
      </c>
      <c r="B56" s="390"/>
      <c r="C56" s="393"/>
      <c r="D56" s="394"/>
      <c r="E56" s="393"/>
      <c r="F56" s="394"/>
      <c r="G56" s="382"/>
      <c r="H56" s="380"/>
      <c r="I56" s="15"/>
      <c r="J56" s="224"/>
    </row>
    <row r="57" spans="1:10" ht="12.75" customHeight="1">
      <c r="A57" s="392" t="s">
        <v>1222</v>
      </c>
      <c r="B57" s="390"/>
      <c r="C57" s="393" t="s">
        <v>0</v>
      </c>
      <c r="D57" s="394" t="s">
        <v>1</v>
      </c>
      <c r="E57" s="393" t="s">
        <v>0</v>
      </c>
      <c r="F57" s="394" t="s">
        <v>1</v>
      </c>
      <c r="G57" s="382"/>
      <c r="H57" s="380"/>
      <c r="I57" s="15"/>
      <c r="J57" s="224"/>
    </row>
    <row r="58" spans="1:10" ht="12.75" customHeight="1">
      <c r="A58" s="389" t="s">
        <v>1223</v>
      </c>
      <c r="B58" s="380"/>
      <c r="C58" s="413">
        <v>0</v>
      </c>
      <c r="D58" s="400">
        <v>0</v>
      </c>
      <c r="E58" s="413">
        <v>10979.6</v>
      </c>
      <c r="F58" s="400">
        <v>122.77976429013806</v>
      </c>
      <c r="G58" s="382"/>
      <c r="H58" s="380"/>
      <c r="I58" s="15"/>
      <c r="J58" s="224"/>
    </row>
    <row r="59" spans="1:10" ht="12.75" customHeight="1">
      <c r="A59" s="389" t="s">
        <v>1224</v>
      </c>
      <c r="B59" s="380"/>
      <c r="C59" s="413">
        <v>0</v>
      </c>
      <c r="D59" s="400">
        <v>0</v>
      </c>
      <c r="E59" s="413">
        <v>15855.1</v>
      </c>
      <c r="F59" s="400">
        <v>128.87099419114355</v>
      </c>
      <c r="G59" s="382"/>
      <c r="H59" s="380"/>
      <c r="I59" s="15"/>
      <c r="J59" s="224"/>
    </row>
    <row r="60" spans="1:10" ht="12.75" customHeight="1">
      <c r="A60" s="389" t="s">
        <v>1225</v>
      </c>
      <c r="B60" s="380"/>
      <c r="C60" s="501">
        <v>0</v>
      </c>
      <c r="D60" s="404">
        <v>0</v>
      </c>
      <c r="E60" s="501">
        <v>45885.5</v>
      </c>
      <c r="F60" s="404">
        <v>158.12778982467228</v>
      </c>
      <c r="G60" s="382"/>
      <c r="H60" s="380"/>
      <c r="I60" s="15"/>
      <c r="J60" s="224"/>
    </row>
    <row r="61" spans="1:10" ht="12.75" customHeight="1">
      <c r="A61" s="821" t="s">
        <v>304</v>
      </c>
      <c r="B61" s="822"/>
      <c r="C61" s="823">
        <v>0</v>
      </c>
      <c r="D61" s="824">
        <v>0</v>
      </c>
      <c r="E61" s="823">
        <v>72720.2</v>
      </c>
      <c r="F61" s="824">
        <v>146.4119721892954</v>
      </c>
      <c r="G61" s="825"/>
      <c r="H61" s="822"/>
      <c r="I61" s="15"/>
      <c r="J61" s="826"/>
    </row>
    <row r="62" spans="1:10" ht="12.75" customHeight="1">
      <c r="A62" s="389" t="s">
        <v>1226</v>
      </c>
      <c r="B62" s="390"/>
      <c r="C62" s="393">
        <v>295634.2</v>
      </c>
      <c r="D62" s="394">
        <v>113.48143381246149</v>
      </c>
      <c r="E62" s="393">
        <v>7872834.899999999</v>
      </c>
      <c r="F62" s="394">
        <v>163.46703150094</v>
      </c>
      <c r="G62" s="382"/>
      <c r="H62" s="380"/>
      <c r="I62" s="15"/>
      <c r="J62" s="224"/>
    </row>
    <row r="63" spans="1:10" ht="12.75" customHeight="1">
      <c r="A63" s="392" t="s">
        <v>1227</v>
      </c>
      <c r="B63" s="390"/>
      <c r="C63" s="393" t="s">
        <v>306</v>
      </c>
      <c r="D63" s="394" t="s">
        <v>307</v>
      </c>
      <c r="E63" s="393" t="s">
        <v>306</v>
      </c>
      <c r="F63" s="394" t="s">
        <v>307</v>
      </c>
      <c r="G63" s="382"/>
      <c r="H63" s="380"/>
      <c r="I63" s="15"/>
      <c r="J63" s="224"/>
    </row>
    <row r="64" spans="1:10" ht="12.75" customHeight="1">
      <c r="A64" s="389" t="s">
        <v>287</v>
      </c>
      <c r="B64" s="380"/>
      <c r="C64" s="413">
        <v>0</v>
      </c>
      <c r="D64" s="400">
        <v>0</v>
      </c>
      <c r="E64" s="413">
        <v>330</v>
      </c>
      <c r="F64" s="400">
        <v>1082.7575757575758</v>
      </c>
      <c r="G64" s="382"/>
      <c r="H64" s="380"/>
      <c r="I64" s="15"/>
      <c r="J64" s="224"/>
    </row>
    <row r="65" spans="1:10" ht="12.75" customHeight="1">
      <c r="A65" s="821" t="s">
        <v>1218</v>
      </c>
      <c r="B65" s="822"/>
      <c r="C65" s="823">
        <v>0</v>
      </c>
      <c r="D65" s="824">
        <v>0</v>
      </c>
      <c r="E65" s="823">
        <v>12</v>
      </c>
      <c r="F65" s="824">
        <v>1212.5</v>
      </c>
      <c r="G65" s="825"/>
      <c r="H65" s="822"/>
      <c r="I65" s="15"/>
      <c r="J65" s="826"/>
    </row>
    <row r="66" spans="1:10" ht="12.75" customHeight="1">
      <c r="A66" s="821" t="s">
        <v>304</v>
      </c>
      <c r="B66" s="822"/>
      <c r="C66" s="823">
        <v>0</v>
      </c>
      <c r="D66" s="824">
        <v>0</v>
      </c>
      <c r="E66" s="823">
        <v>342</v>
      </c>
      <c r="F66" s="824">
        <v>1087.3099415204679</v>
      </c>
      <c r="G66" s="825"/>
      <c r="H66" s="822"/>
      <c r="I66" s="15"/>
      <c r="J66" s="826"/>
    </row>
    <row r="67" spans="1:10" ht="12.75" customHeight="1">
      <c r="A67" s="821" t="s">
        <v>1226</v>
      </c>
      <c r="B67" s="827"/>
      <c r="C67" s="828">
        <v>295634.2</v>
      </c>
      <c r="D67" s="829">
        <v>113.48143381246149</v>
      </c>
      <c r="E67" s="828">
        <v>7873675.399999999</v>
      </c>
      <c r="F67" s="829">
        <v>163.50168500723308</v>
      </c>
      <c r="G67" s="825"/>
      <c r="H67" s="822"/>
      <c r="I67" s="15"/>
      <c r="J67" s="224"/>
    </row>
    <row r="68" spans="1:10" ht="12.75" customHeight="1">
      <c r="A68" s="830" t="s">
        <v>1228</v>
      </c>
      <c r="B68" s="827"/>
      <c r="C68" s="828" t="s">
        <v>0</v>
      </c>
      <c r="D68" s="829" t="s">
        <v>1</v>
      </c>
      <c r="E68" s="828" t="s">
        <v>0</v>
      </c>
      <c r="F68" s="829" t="s">
        <v>1</v>
      </c>
      <c r="G68" s="825"/>
      <c r="H68" s="822"/>
      <c r="I68" s="15"/>
      <c r="J68" s="224"/>
    </row>
    <row r="69" spans="1:10" ht="12.75" customHeight="1">
      <c r="A69" s="821" t="s">
        <v>278</v>
      </c>
      <c r="B69" s="822"/>
      <c r="C69" s="831">
        <v>0</v>
      </c>
      <c r="D69" s="483">
        <v>0</v>
      </c>
      <c r="E69" s="831">
        <v>1183</v>
      </c>
      <c r="F69" s="483">
        <v>217.62890955198648</v>
      </c>
      <c r="G69" s="825"/>
      <c r="H69" s="822"/>
      <c r="I69" s="15"/>
      <c r="J69" s="224"/>
    </row>
    <row r="70" spans="1:10" ht="12.75" customHeight="1">
      <c r="A70" s="821" t="s">
        <v>294</v>
      </c>
      <c r="B70" s="822"/>
      <c r="C70" s="823">
        <v>0</v>
      </c>
      <c r="D70" s="824">
        <v>0</v>
      </c>
      <c r="E70" s="823">
        <v>497</v>
      </c>
      <c r="F70" s="824">
        <v>115</v>
      </c>
      <c r="G70" s="825"/>
      <c r="H70" s="822"/>
      <c r="I70" s="15"/>
      <c r="J70" s="224"/>
    </row>
    <row r="71" spans="1:10" ht="12.75" customHeight="1">
      <c r="A71" s="821" t="s">
        <v>304</v>
      </c>
      <c r="B71" s="822"/>
      <c r="C71" s="823">
        <v>0</v>
      </c>
      <c r="D71" s="824">
        <v>0</v>
      </c>
      <c r="E71" s="823">
        <v>1680</v>
      </c>
      <c r="F71" s="824">
        <v>187.26785714285714</v>
      </c>
      <c r="G71" s="825"/>
      <c r="H71" s="822"/>
      <c r="I71" s="15"/>
      <c r="J71" s="224"/>
    </row>
    <row r="72" spans="1:10" ht="18" customHeight="1">
      <c r="A72" s="821" t="s">
        <v>308</v>
      </c>
      <c r="B72" s="822"/>
      <c r="C72" s="823">
        <v>295634.2</v>
      </c>
      <c r="D72" s="824">
        <v>113.48143381246149</v>
      </c>
      <c r="E72" s="832">
        <v>7874856.899999999</v>
      </c>
      <c r="F72" s="824">
        <v>163.5122310095565</v>
      </c>
      <c r="G72" s="825"/>
      <c r="H72" s="823"/>
      <c r="I72" s="15"/>
      <c r="J72" s="224"/>
    </row>
    <row r="73" spans="1:10" ht="12.75" customHeight="1">
      <c r="A73" s="830"/>
      <c r="B73" s="833"/>
      <c r="C73" s="834" t="s">
        <v>1771</v>
      </c>
      <c r="D73" s="835"/>
      <c r="E73" s="836" t="s">
        <v>1773</v>
      </c>
      <c r="F73" s="834"/>
      <c r="G73" s="837"/>
      <c r="H73" s="838"/>
      <c r="I73" s="15"/>
      <c r="J73" s="224"/>
    </row>
    <row r="74" spans="1:10" ht="12.75" customHeight="1">
      <c r="A74" s="821" t="s">
        <v>40</v>
      </c>
      <c r="B74" s="822" t="s">
        <v>41</v>
      </c>
      <c r="C74" s="831" t="s">
        <v>0</v>
      </c>
      <c r="D74" s="483" t="s">
        <v>164</v>
      </c>
      <c r="E74" s="831" t="s">
        <v>41</v>
      </c>
      <c r="F74" s="483" t="s">
        <v>0</v>
      </c>
      <c r="G74" s="825" t="s">
        <v>164</v>
      </c>
      <c r="H74" s="839" t="s">
        <v>2</v>
      </c>
      <c r="I74" s="15"/>
      <c r="J74" s="224"/>
    </row>
    <row r="75" spans="1:10" ht="12.75" customHeight="1">
      <c r="A75" s="821" t="s">
        <v>42</v>
      </c>
      <c r="B75" s="822">
        <v>135</v>
      </c>
      <c r="C75" s="831">
        <v>6730.5</v>
      </c>
      <c r="D75" s="483">
        <v>136.93239729589183</v>
      </c>
      <c r="E75" s="840">
        <v>660</v>
      </c>
      <c r="F75" s="841">
        <v>32867.5</v>
      </c>
      <c r="G75" s="825">
        <v>102.17374884003955</v>
      </c>
      <c r="H75" s="839">
        <v>0.004173726636226241</v>
      </c>
      <c r="I75" s="15"/>
      <c r="J75" s="224"/>
    </row>
    <row r="76" spans="1:10" ht="12.75" customHeight="1">
      <c r="A76" s="821" t="s">
        <v>43</v>
      </c>
      <c r="B76" s="827">
        <v>5800</v>
      </c>
      <c r="C76" s="828">
        <v>288903.7</v>
      </c>
      <c r="D76" s="829">
        <v>112.93510398101512</v>
      </c>
      <c r="E76" s="842">
        <v>157269</v>
      </c>
      <c r="F76" s="843">
        <v>7841989.3999999985</v>
      </c>
      <c r="G76" s="844">
        <v>163.7693140607918</v>
      </c>
      <c r="H76" s="845">
        <v>0.9958262733637737</v>
      </c>
      <c r="I76" s="15"/>
      <c r="J76" s="224"/>
    </row>
    <row r="77" spans="1:10" ht="12.75" customHeight="1">
      <c r="A77" s="830" t="s">
        <v>44</v>
      </c>
      <c r="B77" s="827">
        <v>5935</v>
      </c>
      <c r="C77" s="828">
        <v>295634.2</v>
      </c>
      <c r="D77" s="829">
        <v>113.48143381246147</v>
      </c>
      <c r="E77" s="842">
        <v>157929</v>
      </c>
      <c r="F77" s="843">
        <v>7874856.8999999985</v>
      </c>
      <c r="G77" s="844">
        <v>163.51223100955656</v>
      </c>
      <c r="H77" s="845">
        <v>1</v>
      </c>
      <c r="I77" s="15"/>
      <c r="J77" s="224"/>
    </row>
    <row r="78" spans="1:9" ht="12.75" customHeight="1">
      <c r="A78" s="392"/>
      <c r="B78" s="380"/>
      <c r="C78" s="393"/>
      <c r="D78" s="394"/>
      <c r="E78" s="393"/>
      <c r="F78" s="394"/>
      <c r="G78" s="382"/>
      <c r="H78" s="380"/>
      <c r="I78" s="15"/>
    </row>
    <row r="79" spans="1:9" ht="12.75" customHeight="1">
      <c r="A79" s="392"/>
      <c r="B79" s="380"/>
      <c r="C79" s="393"/>
      <c r="D79" s="394"/>
      <c r="E79" s="393"/>
      <c r="F79" s="394"/>
      <c r="G79" s="382"/>
      <c r="H79" s="380"/>
      <c r="I79" s="15"/>
    </row>
    <row r="80" spans="1:9" ht="12.75" customHeight="1">
      <c r="A80" s="389"/>
      <c r="B80" s="380"/>
      <c r="C80" s="413"/>
      <c r="D80" s="400"/>
      <c r="E80" s="413"/>
      <c r="F80" s="400"/>
      <c r="G80" s="382"/>
      <c r="H80" s="380"/>
      <c r="I80" s="15"/>
    </row>
    <row r="81" spans="1:9" ht="12.75" customHeight="1">
      <c r="A81" s="389"/>
      <c r="B81" s="380"/>
      <c r="C81" s="413"/>
      <c r="D81" s="400"/>
      <c r="E81" s="413"/>
      <c r="F81" s="400"/>
      <c r="G81" s="382"/>
      <c r="H81" s="380"/>
      <c r="I81" s="15"/>
    </row>
    <row r="82" spans="1:9" ht="12.75" customHeight="1">
      <c r="A82" s="389"/>
      <c r="B82" s="380"/>
      <c r="C82" s="413"/>
      <c r="D82" s="400"/>
      <c r="E82" s="413"/>
      <c r="F82" s="400"/>
      <c r="G82" s="382"/>
      <c r="H82" s="380"/>
      <c r="I82" s="15"/>
    </row>
    <row r="83" spans="1:9" ht="12.75" customHeight="1">
      <c r="A83" s="389"/>
      <c r="B83" s="380"/>
      <c r="C83" s="413"/>
      <c r="D83" s="400"/>
      <c r="E83" s="413"/>
      <c r="F83" s="400"/>
      <c r="G83" s="382"/>
      <c r="H83" s="380"/>
      <c r="I83" s="15"/>
    </row>
    <row r="84" spans="1:9" ht="12.75" customHeight="1">
      <c r="A84" s="389"/>
      <c r="B84" s="380"/>
      <c r="C84" s="413"/>
      <c r="D84" s="400"/>
      <c r="E84" s="413"/>
      <c r="F84" s="400"/>
      <c r="G84" s="382"/>
      <c r="H84" s="380"/>
      <c r="I84" s="15"/>
    </row>
    <row r="85" spans="1:9" ht="12.75" customHeight="1">
      <c r="A85" s="389"/>
      <c r="B85" s="380"/>
      <c r="C85" s="413"/>
      <c r="D85" s="400"/>
      <c r="E85" s="413"/>
      <c r="F85" s="400"/>
      <c r="G85" s="382"/>
      <c r="H85" s="380"/>
      <c r="I85" s="15"/>
    </row>
    <row r="86" spans="1:9" ht="12.75" customHeight="1">
      <c r="A86" s="389"/>
      <c r="B86" s="380"/>
      <c r="C86" s="413"/>
      <c r="D86" s="400"/>
      <c r="E86" s="413"/>
      <c r="F86" s="400"/>
      <c r="G86" s="382"/>
      <c r="H86" s="380"/>
      <c r="I86" s="15"/>
    </row>
    <row r="87" spans="1:9" ht="12.75" customHeight="1">
      <c r="A87" s="389"/>
      <c r="B87" s="380"/>
      <c r="C87" s="413"/>
      <c r="D87" s="400"/>
      <c r="E87" s="413"/>
      <c r="F87" s="400"/>
      <c r="G87" s="382"/>
      <c r="H87" s="380"/>
      <c r="I87" s="15"/>
    </row>
    <row r="88" spans="1:9" ht="12.75" customHeight="1">
      <c r="A88" s="389"/>
      <c r="B88" s="380"/>
      <c r="C88" s="413"/>
      <c r="D88" s="400"/>
      <c r="E88" s="413"/>
      <c r="F88" s="400"/>
      <c r="G88" s="382"/>
      <c r="H88" s="380"/>
      <c r="I88" s="15"/>
    </row>
    <row r="89" spans="1:9" ht="12.75" customHeight="1">
      <c r="A89" s="389"/>
      <c r="B89" s="380"/>
      <c r="C89" s="413"/>
      <c r="D89" s="400"/>
      <c r="E89" s="413"/>
      <c r="F89" s="400"/>
      <c r="G89" s="382"/>
      <c r="H89" s="380"/>
      <c r="I89" s="15"/>
    </row>
    <row r="90" spans="1:9" ht="12.75" customHeight="1">
      <c r="A90" s="389"/>
      <c r="B90" s="380"/>
      <c r="C90" s="413"/>
      <c r="D90" s="400"/>
      <c r="E90" s="413"/>
      <c r="F90" s="400"/>
      <c r="G90" s="382"/>
      <c r="H90" s="380"/>
      <c r="I90" s="15"/>
    </row>
    <row r="91" spans="1:9" ht="12.75" customHeight="1">
      <c r="A91" s="389"/>
      <c r="B91" s="380"/>
      <c r="C91" s="413"/>
      <c r="D91" s="400"/>
      <c r="E91" s="413"/>
      <c r="F91" s="400"/>
      <c r="G91" s="382"/>
      <c r="H91" s="380"/>
      <c r="I91" s="15"/>
    </row>
    <row r="92" spans="1:9" ht="12.75" customHeight="1">
      <c r="A92" s="389"/>
      <c r="B92" s="380"/>
      <c r="C92" s="413"/>
      <c r="D92" s="400"/>
      <c r="E92" s="413"/>
      <c r="F92" s="400"/>
      <c r="G92" s="382"/>
      <c r="H92" s="380"/>
      <c r="I92" s="15"/>
    </row>
    <row r="93" spans="1:9" ht="12.75" customHeight="1">
      <c r="A93" s="389"/>
      <c r="B93" s="380"/>
      <c r="C93" s="413"/>
      <c r="D93" s="400"/>
      <c r="E93" s="413"/>
      <c r="F93" s="400"/>
      <c r="G93" s="382"/>
      <c r="H93" s="380"/>
      <c r="I93" s="15"/>
    </row>
    <row r="94" spans="1:9" ht="12.75" customHeight="1">
      <c r="A94" s="389"/>
      <c r="B94" s="380"/>
      <c r="C94" s="413"/>
      <c r="D94" s="400"/>
      <c r="E94" s="413"/>
      <c r="F94" s="400"/>
      <c r="G94" s="382"/>
      <c r="H94" s="380"/>
      <c r="I94" s="15"/>
    </row>
    <row r="95" spans="1:9" ht="12.75" customHeight="1">
      <c r="A95" s="389"/>
      <c r="B95" s="380"/>
      <c r="C95" s="413"/>
      <c r="D95" s="400"/>
      <c r="E95" s="413"/>
      <c r="F95" s="400"/>
      <c r="G95" s="382"/>
      <c r="H95" s="380"/>
      <c r="I95" s="15"/>
    </row>
    <row r="96" spans="1:9" ht="12.75" customHeight="1">
      <c r="A96" s="389"/>
      <c r="B96" s="380"/>
      <c r="C96" s="413"/>
      <c r="D96" s="400"/>
      <c r="E96" s="413"/>
      <c r="F96" s="400"/>
      <c r="G96" s="382"/>
      <c r="H96" s="380"/>
      <c r="I96" s="15"/>
    </row>
    <row r="97" spans="1:9" ht="12.75" customHeight="1">
      <c r="A97" s="389"/>
      <c r="B97" s="380"/>
      <c r="C97" s="413"/>
      <c r="D97" s="400"/>
      <c r="E97" s="413"/>
      <c r="F97" s="400"/>
      <c r="G97" s="382"/>
      <c r="H97" s="380"/>
      <c r="I97" s="15"/>
    </row>
    <row r="98" spans="1:9" ht="12.75" customHeight="1">
      <c r="A98" s="389"/>
      <c r="B98" s="380"/>
      <c r="C98" s="413"/>
      <c r="D98" s="400"/>
      <c r="E98" s="413"/>
      <c r="F98" s="400"/>
      <c r="G98" s="382"/>
      <c r="H98" s="380"/>
      <c r="I98" s="15"/>
    </row>
    <row r="99" spans="1:9" ht="12.75" customHeight="1">
      <c r="A99" s="389"/>
      <c r="B99" s="380"/>
      <c r="C99" s="413"/>
      <c r="D99" s="400"/>
      <c r="E99" s="413"/>
      <c r="F99" s="400"/>
      <c r="G99" s="382"/>
      <c r="H99" s="380"/>
      <c r="I99" s="15"/>
    </row>
    <row r="100" spans="1:9" ht="12.75" customHeight="1">
      <c r="A100" s="389"/>
      <c r="B100" s="380"/>
      <c r="C100" s="413"/>
      <c r="D100" s="400"/>
      <c r="E100" s="413"/>
      <c r="F100" s="400"/>
      <c r="G100" s="382"/>
      <c r="H100" s="380"/>
      <c r="I100" s="15"/>
    </row>
    <row r="101" spans="1:9" ht="12.75" customHeight="1">
      <c r="A101" s="389"/>
      <c r="B101" s="380"/>
      <c r="C101" s="413"/>
      <c r="D101" s="400"/>
      <c r="E101" s="413"/>
      <c r="F101" s="400"/>
      <c r="G101" s="382"/>
      <c r="H101" s="380"/>
      <c r="I101" s="15"/>
    </row>
    <row r="102" spans="1:9" ht="12.75" customHeight="1">
      <c r="A102" s="389"/>
      <c r="B102" s="380"/>
      <c r="C102" s="413"/>
      <c r="D102" s="400"/>
      <c r="E102" s="413"/>
      <c r="F102" s="400"/>
      <c r="G102" s="382"/>
      <c r="H102" s="380"/>
      <c r="I102" s="15"/>
    </row>
    <row r="103" spans="1:9" ht="12.75" customHeight="1">
      <c r="A103" s="389"/>
      <c r="B103" s="380"/>
      <c r="C103" s="413"/>
      <c r="D103" s="400"/>
      <c r="E103" s="413"/>
      <c r="F103" s="400"/>
      <c r="G103" s="382"/>
      <c r="H103" s="380"/>
      <c r="I103" s="15"/>
    </row>
    <row r="104" spans="1:9" ht="12.75" customHeight="1">
      <c r="A104" s="389"/>
      <c r="B104" s="380"/>
      <c r="C104" s="413"/>
      <c r="D104" s="400"/>
      <c r="E104" s="413"/>
      <c r="F104" s="400"/>
      <c r="G104" s="382"/>
      <c r="H104" s="380"/>
      <c r="I104" s="15"/>
    </row>
    <row r="105" spans="1:9" ht="12.75" customHeight="1">
      <c r="A105" s="389"/>
      <c r="B105" s="380"/>
      <c r="C105" s="413"/>
      <c r="D105" s="400"/>
      <c r="E105" s="413"/>
      <c r="F105" s="400"/>
      <c r="G105" s="382"/>
      <c r="H105" s="380"/>
      <c r="I105" s="15"/>
    </row>
    <row r="106" spans="1:9" ht="12.75" customHeight="1">
      <c r="A106" s="389"/>
      <c r="B106" s="380"/>
      <c r="C106" s="413"/>
      <c r="D106" s="400"/>
      <c r="E106" s="413"/>
      <c r="F106" s="400"/>
      <c r="G106" s="382"/>
      <c r="H106" s="380"/>
      <c r="I106" s="15"/>
    </row>
    <row r="107" spans="1:9" ht="12.75" customHeight="1">
      <c r="A107" s="389"/>
      <c r="B107" s="380"/>
      <c r="C107" s="413"/>
      <c r="D107" s="400"/>
      <c r="E107" s="413"/>
      <c r="F107" s="400"/>
      <c r="G107" s="382"/>
      <c r="H107" s="380"/>
      <c r="I107" s="15"/>
    </row>
    <row r="108" spans="1:9" ht="12.75" customHeight="1">
      <c r="A108" s="389"/>
      <c r="B108" s="380"/>
      <c r="C108" s="413"/>
      <c r="D108" s="400"/>
      <c r="E108" s="413"/>
      <c r="F108" s="400"/>
      <c r="G108" s="382"/>
      <c r="H108" s="380"/>
      <c r="I108" s="15"/>
    </row>
    <row r="109" spans="1:9" ht="12.75" customHeight="1">
      <c r="A109" s="389"/>
      <c r="B109" s="380"/>
      <c r="C109" s="413"/>
      <c r="D109" s="400"/>
      <c r="E109" s="413"/>
      <c r="F109" s="400"/>
      <c r="G109" s="382"/>
      <c r="H109" s="380"/>
      <c r="I109" s="15"/>
    </row>
    <row r="110" spans="1:9" ht="12.75" customHeight="1">
      <c r="A110" s="389"/>
      <c r="B110" s="380"/>
      <c r="C110" s="413"/>
      <c r="D110" s="400"/>
      <c r="E110" s="413"/>
      <c r="F110" s="400"/>
      <c r="G110" s="382"/>
      <c r="H110" s="380"/>
      <c r="I110" s="15"/>
    </row>
    <row r="111" spans="1:9" ht="12.75" customHeight="1">
      <c r="A111" s="389"/>
      <c r="B111" s="380"/>
      <c r="C111" s="413"/>
      <c r="D111" s="400"/>
      <c r="E111" s="413"/>
      <c r="F111" s="400"/>
      <c r="G111" s="382"/>
      <c r="H111" s="380"/>
      <c r="I111" s="15"/>
    </row>
    <row r="112" spans="1:9" ht="12.75" customHeight="1">
      <c r="A112" s="389"/>
      <c r="B112" s="380"/>
      <c r="C112" s="413"/>
      <c r="D112" s="400"/>
      <c r="E112" s="413"/>
      <c r="F112" s="400"/>
      <c r="G112" s="382"/>
      <c r="H112" s="380"/>
      <c r="I112" s="15"/>
    </row>
    <row r="113" spans="1:9" ht="12.75" customHeight="1">
      <c r="A113" s="389"/>
      <c r="B113" s="380"/>
      <c r="C113" s="413"/>
      <c r="D113" s="400"/>
      <c r="E113" s="413"/>
      <c r="F113" s="400"/>
      <c r="G113" s="382"/>
      <c r="H113" s="380"/>
      <c r="I113" s="15"/>
    </row>
    <row r="114" spans="1:9" ht="12.75" customHeight="1">
      <c r="A114" s="389"/>
      <c r="B114" s="380"/>
      <c r="C114" s="413"/>
      <c r="D114" s="400"/>
      <c r="E114" s="413"/>
      <c r="F114" s="400"/>
      <c r="G114" s="382"/>
      <c r="H114" s="380"/>
      <c r="I114" s="15"/>
    </row>
    <row r="115" spans="1:9" ht="12.75" customHeight="1">
      <c r="A115" s="389"/>
      <c r="B115" s="380"/>
      <c r="C115" s="413"/>
      <c r="D115" s="400"/>
      <c r="E115" s="413"/>
      <c r="F115" s="400"/>
      <c r="G115" s="382"/>
      <c r="H115" s="380"/>
      <c r="I115" s="15"/>
    </row>
    <row r="116" spans="1:9" ht="12.75" customHeight="1">
      <c r="A116" s="389"/>
      <c r="B116" s="380"/>
      <c r="C116" s="413"/>
      <c r="D116" s="400"/>
      <c r="E116" s="413"/>
      <c r="F116" s="400"/>
      <c r="G116" s="382"/>
      <c r="H116" s="380"/>
      <c r="I116" s="15"/>
    </row>
    <row r="117" spans="1:9" ht="12.75" customHeight="1">
      <c r="A117" s="389"/>
      <c r="B117" s="380"/>
      <c r="C117" s="413"/>
      <c r="D117" s="400"/>
      <c r="E117" s="413"/>
      <c r="F117" s="400"/>
      <c r="G117" s="382"/>
      <c r="H117" s="380"/>
      <c r="I117" s="15"/>
    </row>
    <row r="118" spans="1:9" ht="12.75" customHeight="1">
      <c r="A118" s="389"/>
      <c r="B118" s="380"/>
      <c r="C118" s="413"/>
      <c r="D118" s="400"/>
      <c r="E118" s="413"/>
      <c r="F118" s="400"/>
      <c r="G118" s="382"/>
      <c r="H118" s="380"/>
      <c r="I118" s="15"/>
    </row>
    <row r="119" spans="1:9" ht="12.75" customHeight="1">
      <c r="A119" s="389"/>
      <c r="B119" s="380"/>
      <c r="C119" s="413"/>
      <c r="D119" s="400"/>
      <c r="E119" s="413"/>
      <c r="F119" s="400"/>
      <c r="G119" s="382"/>
      <c r="H119" s="380"/>
      <c r="I119" s="15"/>
    </row>
    <row r="120" spans="1:9" ht="12.75" customHeight="1">
      <c r="A120" s="389"/>
      <c r="B120" s="380"/>
      <c r="C120" s="413"/>
      <c r="D120" s="400"/>
      <c r="E120" s="413"/>
      <c r="F120" s="400"/>
      <c r="G120" s="382"/>
      <c r="H120" s="380"/>
      <c r="I120" s="15"/>
    </row>
    <row r="121" spans="1:9" ht="12.75" customHeight="1">
      <c r="A121" s="389"/>
      <c r="B121" s="380"/>
      <c r="C121" s="413"/>
      <c r="D121" s="400"/>
      <c r="E121" s="413"/>
      <c r="F121" s="400"/>
      <c r="G121" s="382"/>
      <c r="H121" s="380"/>
      <c r="I121" s="15"/>
    </row>
    <row r="122" spans="1:9" ht="12.75" customHeight="1">
      <c r="A122" s="389"/>
      <c r="B122" s="380"/>
      <c r="C122" s="413"/>
      <c r="D122" s="400"/>
      <c r="E122" s="413"/>
      <c r="F122" s="400"/>
      <c r="G122" s="382"/>
      <c r="H122" s="380"/>
      <c r="I122" s="15"/>
    </row>
    <row r="123" spans="1:9" ht="12.75" customHeight="1">
      <c r="A123" s="389"/>
      <c r="B123" s="380"/>
      <c r="C123" s="413"/>
      <c r="D123" s="400"/>
      <c r="E123" s="413"/>
      <c r="F123" s="400"/>
      <c r="G123" s="382"/>
      <c r="H123" s="380"/>
      <c r="I123" s="15"/>
    </row>
    <row r="124" spans="1:9" ht="12.75" customHeight="1">
      <c r="A124" s="389"/>
      <c r="B124" s="380"/>
      <c r="C124" s="501"/>
      <c r="D124" s="404"/>
      <c r="E124" s="501"/>
      <c r="F124" s="404"/>
      <c r="G124" s="382"/>
      <c r="H124" s="380"/>
      <c r="I124" s="15"/>
    </row>
    <row r="125" spans="1:9" ht="12.75" customHeight="1">
      <c r="A125" s="389"/>
      <c r="B125" s="380"/>
      <c r="C125" s="501"/>
      <c r="D125" s="404"/>
      <c r="E125" s="501"/>
      <c r="F125" s="404"/>
      <c r="G125" s="382"/>
      <c r="H125" s="380"/>
      <c r="I125" s="15"/>
    </row>
    <row r="126" spans="1:9" ht="12.75" customHeight="1">
      <c r="A126" s="392"/>
      <c r="B126" s="380"/>
      <c r="C126" s="413"/>
      <c r="D126" s="400"/>
      <c r="E126" s="413"/>
      <c r="F126" s="400"/>
      <c r="G126" s="382"/>
      <c r="H126" s="380"/>
      <c r="I126" s="15"/>
    </row>
    <row r="127" spans="1:9" ht="12.75" customHeight="1">
      <c r="A127" s="392"/>
      <c r="B127" s="390"/>
      <c r="C127" s="393"/>
      <c r="D127" s="394"/>
      <c r="E127" s="393"/>
      <c r="F127" s="394"/>
      <c r="G127" s="382"/>
      <c r="H127" s="380"/>
      <c r="I127" s="15"/>
    </row>
    <row r="128" spans="1:9" ht="12.75" customHeight="1">
      <c r="A128" s="389"/>
      <c r="B128" s="380"/>
      <c r="C128" s="413"/>
      <c r="D128" s="400"/>
      <c r="E128" s="413"/>
      <c r="F128" s="400"/>
      <c r="G128" s="382"/>
      <c r="H128" s="380"/>
      <c r="I128" s="15"/>
    </row>
    <row r="129" spans="1:9" ht="12.75" customHeight="1">
      <c r="A129" s="389"/>
      <c r="B129" s="380"/>
      <c r="C129" s="413"/>
      <c r="D129" s="400"/>
      <c r="E129" s="413"/>
      <c r="F129" s="400"/>
      <c r="G129" s="382"/>
      <c r="H129" s="380"/>
      <c r="I129" s="15"/>
    </row>
    <row r="130" spans="1:9" ht="12.75" customHeight="1">
      <c r="A130" s="389"/>
      <c r="B130" s="380"/>
      <c r="C130" s="413"/>
      <c r="D130" s="400"/>
      <c r="E130" s="501"/>
      <c r="F130" s="404"/>
      <c r="G130" s="382"/>
      <c r="H130" s="380"/>
      <c r="I130" s="15"/>
    </row>
    <row r="131" spans="1:9" ht="12.75" customHeight="1">
      <c r="A131" s="389"/>
      <c r="B131" s="380"/>
      <c r="C131" s="501"/>
      <c r="D131" s="404"/>
      <c r="E131" s="501"/>
      <c r="F131" s="404"/>
      <c r="G131" s="382"/>
      <c r="H131" s="380"/>
      <c r="I131" s="15"/>
    </row>
    <row r="132" spans="1:9" ht="12.75" customHeight="1">
      <c r="A132" s="389"/>
      <c r="B132" s="380"/>
      <c r="C132" s="501"/>
      <c r="D132" s="404"/>
      <c r="E132" s="501"/>
      <c r="F132" s="404"/>
      <c r="G132" s="382"/>
      <c r="H132" s="380"/>
      <c r="I132" s="15"/>
    </row>
    <row r="133" spans="1:9" ht="12.75" customHeight="1">
      <c r="A133" s="392"/>
      <c r="B133" s="390"/>
      <c r="C133" s="393"/>
      <c r="D133" s="394"/>
      <c r="E133" s="393"/>
      <c r="F133" s="394"/>
      <c r="G133" s="382"/>
      <c r="H133" s="380"/>
      <c r="I133" s="15"/>
    </row>
    <row r="134" spans="1:9" ht="12.75" customHeight="1">
      <c r="A134" s="389"/>
      <c r="B134" s="380"/>
      <c r="C134" s="413"/>
      <c r="D134" s="400"/>
      <c r="E134" s="413"/>
      <c r="F134" s="400"/>
      <c r="G134" s="382"/>
      <c r="H134" s="380"/>
      <c r="I134" s="15"/>
    </row>
    <row r="135" spans="1:9" ht="12.75" customHeight="1">
      <c r="A135" s="389"/>
      <c r="B135" s="380"/>
      <c r="C135" s="501"/>
      <c r="D135" s="404"/>
      <c r="E135" s="501"/>
      <c r="F135" s="404"/>
      <c r="G135" s="382"/>
      <c r="H135" s="380"/>
      <c r="I135" s="15"/>
    </row>
    <row r="136" spans="1:9" ht="12.75" customHeight="1">
      <c r="A136" s="389"/>
      <c r="B136" s="380"/>
      <c r="C136" s="501"/>
      <c r="D136" s="404"/>
      <c r="E136" s="501"/>
      <c r="F136" s="404"/>
      <c r="G136" s="382"/>
      <c r="H136" s="380"/>
      <c r="I136" s="15"/>
    </row>
    <row r="137" spans="1:9" ht="12.75" customHeight="1">
      <c r="A137" s="389"/>
      <c r="B137" s="380"/>
      <c r="C137" s="413"/>
      <c r="D137" s="400"/>
      <c r="E137" s="413"/>
      <c r="F137" s="400"/>
      <c r="G137" s="382"/>
      <c r="H137" s="380"/>
      <c r="I137" s="15"/>
    </row>
    <row r="138" spans="1:9" ht="12.75" customHeight="1">
      <c r="A138" s="392"/>
      <c r="B138" s="390"/>
      <c r="C138" s="393"/>
      <c r="D138" s="394"/>
      <c r="E138" s="393"/>
      <c r="F138" s="394"/>
      <c r="G138" s="382"/>
      <c r="H138" s="380"/>
      <c r="I138" s="15"/>
    </row>
    <row r="139" spans="1:9" ht="12.75" customHeight="1">
      <c r="A139" s="389"/>
      <c r="B139" s="380"/>
      <c r="C139" s="413"/>
      <c r="D139" s="400"/>
      <c r="E139" s="413"/>
      <c r="F139" s="400"/>
      <c r="G139" s="382"/>
      <c r="H139" s="380"/>
      <c r="I139" s="15"/>
    </row>
    <row r="140" spans="1:9" ht="12.75" customHeight="1">
      <c r="A140" s="389"/>
      <c r="B140" s="380"/>
      <c r="C140" s="413"/>
      <c r="D140" s="400"/>
      <c r="E140" s="501"/>
      <c r="F140" s="404"/>
      <c r="G140" s="382"/>
      <c r="H140" s="380"/>
      <c r="I140" s="15"/>
    </row>
    <row r="141" spans="1:9" ht="12.75" customHeight="1">
      <c r="A141" s="389"/>
      <c r="B141" s="380"/>
      <c r="C141" s="501"/>
      <c r="D141" s="404"/>
      <c r="E141" s="501"/>
      <c r="F141" s="404"/>
      <c r="G141" s="382"/>
      <c r="H141" s="380"/>
      <c r="I141" s="15"/>
    </row>
    <row r="142" spans="1:9" ht="12.75" customHeight="1">
      <c r="A142" s="389"/>
      <c r="B142" s="380"/>
      <c r="C142" s="501"/>
      <c r="D142" s="404"/>
      <c r="E142" s="501"/>
      <c r="F142" s="404"/>
      <c r="G142" s="382"/>
      <c r="H142" s="380"/>
      <c r="I142" s="15"/>
    </row>
    <row r="143" spans="1:9" ht="12.75" customHeight="1">
      <c r="A143" s="389"/>
      <c r="B143" s="380"/>
      <c r="C143" s="501"/>
      <c r="D143" s="400"/>
      <c r="F143" s="400"/>
      <c r="G143" s="382"/>
      <c r="H143" s="501"/>
      <c r="I143" s="15"/>
    </row>
    <row r="144" spans="1:9" ht="12.75" customHeight="1">
      <c r="A144" s="392"/>
      <c r="B144" s="390"/>
      <c r="C144" s="393"/>
      <c r="D144" s="394"/>
      <c r="E144" s="393"/>
      <c r="F144" s="394"/>
      <c r="G144" s="502"/>
      <c r="H144" s="390"/>
      <c r="I144" s="15"/>
    </row>
    <row r="145" spans="1:9" ht="12.75" customHeight="1">
      <c r="A145" s="389"/>
      <c r="B145" s="380"/>
      <c r="C145" s="413"/>
      <c r="D145" s="400"/>
      <c r="E145" s="624"/>
      <c r="F145" s="415"/>
      <c r="G145" s="498"/>
      <c r="H145" s="500"/>
      <c r="I145" s="15"/>
    </row>
    <row r="146" spans="1:9" ht="12.75" customHeight="1">
      <c r="A146" s="389"/>
      <c r="B146" s="390"/>
      <c r="C146" s="393"/>
      <c r="D146" s="394"/>
      <c r="E146" s="625"/>
      <c r="F146" s="424"/>
      <c r="G146" s="626"/>
      <c r="H146" s="555"/>
      <c r="I146" s="15"/>
    </row>
    <row r="147" spans="1:9" ht="12.75" customHeight="1">
      <c r="A147" s="389"/>
      <c r="B147" s="390"/>
      <c r="C147" s="393"/>
      <c r="D147" s="394"/>
      <c r="E147" s="625"/>
      <c r="F147" s="424"/>
      <c r="G147" s="626"/>
      <c r="H147" s="555"/>
      <c r="I147" s="15"/>
    </row>
    <row r="148" spans="1:9" ht="12.75" customHeight="1">
      <c r="A148" s="392"/>
      <c r="B148" s="380"/>
      <c r="C148" s="393"/>
      <c r="D148" s="394"/>
      <c r="E148" s="393"/>
      <c r="F148" s="394"/>
      <c r="G148" s="382"/>
      <c r="H148" s="380"/>
      <c r="I148" s="15"/>
    </row>
    <row r="149" spans="1:9" ht="12.75" customHeight="1">
      <c r="A149" s="141"/>
      <c r="B149" s="138"/>
      <c r="C149" s="142"/>
      <c r="D149" s="584"/>
      <c r="E149" s="142"/>
      <c r="F149" s="585"/>
      <c r="G149" s="138"/>
      <c r="H149" s="586"/>
      <c r="I149" s="15"/>
    </row>
    <row r="150" spans="1:9" ht="12.75" customHeight="1">
      <c r="A150" s="141"/>
      <c r="B150" s="138"/>
      <c r="C150" s="142"/>
      <c r="D150" s="584"/>
      <c r="E150" s="142"/>
      <c r="F150" s="585"/>
      <c r="G150" s="138"/>
      <c r="H150" s="586"/>
      <c r="I150" s="15"/>
    </row>
    <row r="151" spans="1:9" ht="12.75" customHeight="1">
      <c r="A151" s="141"/>
      <c r="B151" s="138"/>
      <c r="C151" s="142"/>
      <c r="D151" s="584"/>
      <c r="E151" s="142"/>
      <c r="F151" s="585"/>
      <c r="G151" s="138"/>
      <c r="H151" s="586"/>
      <c r="I151" s="15"/>
    </row>
    <row r="152" spans="1:9" ht="12.75" customHeight="1">
      <c r="A152" s="141"/>
      <c r="B152" s="138"/>
      <c r="C152" s="142"/>
      <c r="D152" s="584"/>
      <c r="E152" s="142"/>
      <c r="F152" s="585"/>
      <c r="G152" s="138"/>
      <c r="H152" s="586"/>
      <c r="I152" s="15"/>
    </row>
    <row r="153" spans="1:9" ht="12.75" customHeight="1">
      <c r="A153" s="141"/>
      <c r="B153" s="138"/>
      <c r="C153" s="142"/>
      <c r="D153" s="584"/>
      <c r="E153" s="142"/>
      <c r="F153" s="585"/>
      <c r="G153" s="138"/>
      <c r="H153" s="586"/>
      <c r="I153" s="15"/>
    </row>
    <row r="154" spans="1:9" ht="12.75" customHeight="1">
      <c r="A154" s="141"/>
      <c r="B154" s="138"/>
      <c r="C154" s="142"/>
      <c r="D154" s="584"/>
      <c r="E154" s="142"/>
      <c r="F154" s="585"/>
      <c r="G154" s="138"/>
      <c r="H154" s="586"/>
      <c r="I154" s="15"/>
    </row>
    <row r="155" spans="1:9" ht="12.75" customHeight="1">
      <c r="A155" s="141"/>
      <c r="B155" s="138"/>
      <c r="C155" s="142"/>
      <c r="D155" s="584"/>
      <c r="E155" s="142"/>
      <c r="F155" s="585"/>
      <c r="G155" s="138"/>
      <c r="H155" s="586"/>
      <c r="I155" s="15"/>
    </row>
    <row r="156" spans="1:9" ht="12.75" customHeight="1">
      <c r="A156" s="141"/>
      <c r="B156" s="138"/>
      <c r="C156" s="142"/>
      <c r="D156" s="584"/>
      <c r="E156" s="142"/>
      <c r="F156" s="585"/>
      <c r="G156" s="138"/>
      <c r="H156" s="586"/>
      <c r="I156" s="15"/>
    </row>
    <row r="157" spans="1:9" ht="12.75" customHeight="1">
      <c r="A157" s="141"/>
      <c r="B157" s="138"/>
      <c r="C157" s="142"/>
      <c r="D157" s="584"/>
      <c r="E157" s="142"/>
      <c r="F157" s="585"/>
      <c r="G157" s="138"/>
      <c r="H157" s="586"/>
      <c r="I157" s="15"/>
    </row>
    <row r="158" spans="1:9" ht="12.75" customHeight="1">
      <c r="A158" s="141"/>
      <c r="B158" s="138"/>
      <c r="C158" s="142"/>
      <c r="D158" s="584"/>
      <c r="E158" s="142"/>
      <c r="F158" s="585"/>
      <c r="G158" s="138"/>
      <c r="H158" s="586"/>
      <c r="I158" s="15"/>
    </row>
    <row r="159" spans="1:9" ht="12.75" customHeight="1">
      <c r="A159" s="141"/>
      <c r="B159" s="138"/>
      <c r="C159" s="142"/>
      <c r="D159" s="584"/>
      <c r="E159" s="142"/>
      <c r="F159" s="585"/>
      <c r="G159" s="138"/>
      <c r="H159" s="586"/>
      <c r="I159" s="15"/>
    </row>
    <row r="160" spans="1:9" ht="12.75" customHeight="1">
      <c r="A160" s="141"/>
      <c r="B160" s="138"/>
      <c r="C160" s="142"/>
      <c r="D160" s="584"/>
      <c r="E160" s="142"/>
      <c r="F160" s="585"/>
      <c r="G160" s="138"/>
      <c r="H160" s="586"/>
      <c r="I160" s="15"/>
    </row>
    <row r="161" spans="1:9" ht="12.75" customHeight="1">
      <c r="A161" s="141"/>
      <c r="B161" s="138"/>
      <c r="C161" s="142"/>
      <c r="D161" s="584"/>
      <c r="E161" s="142"/>
      <c r="F161" s="585"/>
      <c r="G161" s="138"/>
      <c r="H161" s="586"/>
      <c r="I161" s="15"/>
    </row>
    <row r="162" spans="1:9" ht="12.75" customHeight="1">
      <c r="A162" s="141"/>
      <c r="B162" s="138"/>
      <c r="C162" s="142"/>
      <c r="D162" s="584"/>
      <c r="E162" s="142"/>
      <c r="F162" s="585"/>
      <c r="G162" s="138"/>
      <c r="H162" s="586"/>
      <c r="I162" s="15"/>
    </row>
    <row r="163" spans="1:9" ht="12.75" customHeight="1">
      <c r="A163" s="141"/>
      <c r="B163" s="138"/>
      <c r="C163" s="142"/>
      <c r="D163" s="584"/>
      <c r="E163" s="142"/>
      <c r="F163" s="585"/>
      <c r="G163" s="138"/>
      <c r="H163" s="586"/>
      <c r="I163" s="15"/>
    </row>
    <row r="164" spans="1:9" ht="12.75" customHeight="1">
      <c r="A164" s="141"/>
      <c r="B164" s="138"/>
      <c r="C164" s="142"/>
      <c r="D164" s="584"/>
      <c r="E164" s="142"/>
      <c r="F164" s="585"/>
      <c r="G164" s="138"/>
      <c r="H164" s="586"/>
      <c r="I164" s="15"/>
    </row>
    <row r="165" spans="1:9" ht="12.75" customHeight="1">
      <c r="A165" s="141"/>
      <c r="B165" s="138"/>
      <c r="C165" s="142"/>
      <c r="D165" s="584"/>
      <c r="E165" s="142"/>
      <c r="F165" s="585"/>
      <c r="G165" s="138"/>
      <c r="H165" s="586"/>
      <c r="I165" s="15"/>
    </row>
    <row r="166" spans="1:9" ht="12.75" customHeight="1">
      <c r="A166" s="141"/>
      <c r="B166" s="138"/>
      <c r="C166" s="142"/>
      <c r="D166" s="584"/>
      <c r="E166" s="142"/>
      <c r="F166" s="585"/>
      <c r="G166" s="138"/>
      <c r="H166" s="586"/>
      <c r="I166" s="15"/>
    </row>
    <row r="167" spans="1:9" ht="12.75" customHeight="1">
      <c r="A167" s="141"/>
      <c r="B167" s="138"/>
      <c r="C167" s="142"/>
      <c r="D167" s="584"/>
      <c r="E167" s="142"/>
      <c r="F167" s="585"/>
      <c r="G167" s="138"/>
      <c r="H167" s="586"/>
      <c r="I167" s="15"/>
    </row>
    <row r="168" spans="1:9" ht="12.75" customHeight="1">
      <c r="A168" s="141"/>
      <c r="B168" s="138"/>
      <c r="C168" s="142"/>
      <c r="D168" s="584"/>
      <c r="E168" s="142"/>
      <c r="F168" s="585"/>
      <c r="G168" s="138"/>
      <c r="H168" s="586"/>
      <c r="I168" s="15"/>
    </row>
    <row r="169" spans="1:9" ht="12.75" customHeight="1">
      <c r="A169" s="141"/>
      <c r="B169" s="138"/>
      <c r="C169" s="142"/>
      <c r="D169" s="584"/>
      <c r="E169" s="142"/>
      <c r="F169" s="585"/>
      <c r="G169" s="138"/>
      <c r="H169" s="586"/>
      <c r="I169" s="15"/>
    </row>
    <row r="170" spans="1:9" ht="12.75" customHeight="1">
      <c r="A170" s="141"/>
      <c r="B170" s="138"/>
      <c r="C170" s="142"/>
      <c r="D170" s="584"/>
      <c r="E170" s="142"/>
      <c r="F170" s="585"/>
      <c r="G170" s="138"/>
      <c r="H170" s="586"/>
      <c r="I170" s="15"/>
    </row>
    <row r="171" spans="1:9" ht="12.75" customHeight="1">
      <c r="A171" s="141"/>
      <c r="B171" s="138"/>
      <c r="C171" s="142"/>
      <c r="D171" s="584"/>
      <c r="E171" s="142"/>
      <c r="F171" s="585"/>
      <c r="G171" s="138"/>
      <c r="H171" s="586"/>
      <c r="I171" s="15"/>
    </row>
    <row r="172" spans="1:9" ht="12.75" customHeight="1">
      <c r="A172" s="141"/>
      <c r="B172" s="138"/>
      <c r="C172" s="142"/>
      <c r="D172" s="584"/>
      <c r="E172" s="142"/>
      <c r="F172" s="585"/>
      <c r="G172" s="138"/>
      <c r="H172" s="586"/>
      <c r="I172" s="15"/>
    </row>
    <row r="173" spans="1:9" ht="12.75" customHeight="1">
      <c r="A173" s="141"/>
      <c r="B173" s="138"/>
      <c r="C173" s="142"/>
      <c r="D173" s="584"/>
      <c r="E173" s="142"/>
      <c r="F173" s="585"/>
      <c r="G173" s="138"/>
      <c r="H173" s="586"/>
      <c r="I173" s="15"/>
    </row>
    <row r="174" spans="1:9" ht="12.75" customHeight="1">
      <c r="A174" s="141"/>
      <c r="B174" s="138"/>
      <c r="C174" s="142"/>
      <c r="D174" s="584"/>
      <c r="E174" s="142"/>
      <c r="F174" s="585"/>
      <c r="G174" s="138"/>
      <c r="H174" s="586"/>
      <c r="I174" s="15"/>
    </row>
    <row r="175" spans="1:9" ht="12.75" customHeight="1">
      <c r="A175" s="141"/>
      <c r="B175" s="138"/>
      <c r="C175" s="142"/>
      <c r="D175" s="584"/>
      <c r="E175" s="142"/>
      <c r="F175" s="585"/>
      <c r="G175" s="138"/>
      <c r="H175" s="586"/>
      <c r="I175" s="15"/>
    </row>
    <row r="176" spans="1:9" ht="12.75" customHeight="1">
      <c r="A176" s="141"/>
      <c r="B176" s="138"/>
      <c r="C176" s="142"/>
      <c r="D176" s="584"/>
      <c r="E176" s="142"/>
      <c r="F176" s="585"/>
      <c r="G176" s="138"/>
      <c r="H176" s="586"/>
      <c r="I176" s="15"/>
    </row>
    <row r="177" spans="1:9" ht="12.75" customHeight="1">
      <c r="A177" s="141"/>
      <c r="B177" s="138"/>
      <c r="C177" s="142"/>
      <c r="D177" s="584"/>
      <c r="E177" s="142"/>
      <c r="F177" s="585"/>
      <c r="G177" s="138"/>
      <c r="H177" s="586"/>
      <c r="I177" s="15"/>
    </row>
    <row r="178" spans="1:9" ht="12.75" customHeight="1">
      <c r="A178" s="141"/>
      <c r="B178" s="138"/>
      <c r="C178" s="142"/>
      <c r="D178" s="584"/>
      <c r="E178" s="142"/>
      <c r="F178" s="585"/>
      <c r="G178" s="138"/>
      <c r="H178" s="586"/>
      <c r="I178" s="15"/>
    </row>
    <row r="179" spans="1:9" ht="12.75" customHeight="1">
      <c r="A179" s="141"/>
      <c r="B179" s="138"/>
      <c r="C179" s="142"/>
      <c r="D179" s="584"/>
      <c r="E179" s="142"/>
      <c r="F179" s="585"/>
      <c r="G179" s="138"/>
      <c r="H179" s="586"/>
      <c r="I179" s="15"/>
    </row>
    <row r="180" spans="1:9" ht="12.75" customHeight="1">
      <c r="A180" s="141"/>
      <c r="B180" s="138"/>
      <c r="C180" s="142"/>
      <c r="D180" s="584"/>
      <c r="E180" s="142"/>
      <c r="F180" s="585"/>
      <c r="G180" s="138"/>
      <c r="H180" s="586"/>
      <c r="I180" s="15"/>
    </row>
    <row r="181" spans="1:9" ht="12.75" customHeight="1">
      <c r="A181" s="141"/>
      <c r="B181" s="138"/>
      <c r="C181" s="142"/>
      <c r="D181" s="584"/>
      <c r="E181" s="142"/>
      <c r="F181" s="585"/>
      <c r="G181" s="138"/>
      <c r="H181" s="586"/>
      <c r="I181" s="15"/>
    </row>
    <row r="182" spans="1:9" ht="12.75" customHeight="1">
      <c r="A182" s="141"/>
      <c r="B182" s="138"/>
      <c r="C182" s="142"/>
      <c r="D182" s="584"/>
      <c r="E182" s="142"/>
      <c r="F182" s="585"/>
      <c r="G182" s="138"/>
      <c r="H182" s="586"/>
      <c r="I182" s="15"/>
    </row>
    <row r="183" spans="1:9" ht="12.75" customHeight="1">
      <c r="A183" s="141"/>
      <c r="B183" s="138"/>
      <c r="C183" s="142"/>
      <c r="D183" s="584"/>
      <c r="E183" s="142"/>
      <c r="F183" s="585"/>
      <c r="G183" s="138"/>
      <c r="H183" s="586"/>
      <c r="I183" s="15"/>
    </row>
    <row r="184" spans="1:9" ht="12.75" customHeight="1">
      <c r="A184" s="141"/>
      <c r="B184" s="138"/>
      <c r="C184" s="142"/>
      <c r="D184" s="584"/>
      <c r="E184" s="142"/>
      <c r="F184" s="585"/>
      <c r="G184" s="138"/>
      <c r="H184" s="586"/>
      <c r="I184" s="15"/>
    </row>
    <row r="185" spans="1:9" ht="12.75" customHeight="1">
      <c r="A185" s="141"/>
      <c r="B185" s="138"/>
      <c r="C185" s="142"/>
      <c r="D185" s="584"/>
      <c r="E185" s="142"/>
      <c r="F185" s="585"/>
      <c r="G185" s="138"/>
      <c r="H185" s="586"/>
      <c r="I185" s="15"/>
    </row>
    <row r="186" spans="1:9" ht="12.75" customHeight="1">
      <c r="A186" s="141"/>
      <c r="B186" s="138"/>
      <c r="C186" s="142"/>
      <c r="D186" s="584"/>
      <c r="E186" s="142"/>
      <c r="F186" s="585"/>
      <c r="G186" s="138"/>
      <c r="H186" s="586"/>
      <c r="I186" s="15"/>
    </row>
    <row r="187" spans="1:9" ht="12.75" customHeight="1">
      <c r="A187" s="141"/>
      <c r="B187" s="138"/>
      <c r="C187" s="142"/>
      <c r="D187" s="584"/>
      <c r="E187" s="142"/>
      <c r="F187" s="585"/>
      <c r="G187" s="138"/>
      <c r="H187" s="586"/>
      <c r="I187" s="15"/>
    </row>
    <row r="188" spans="1:9" ht="12.75" customHeight="1">
      <c r="A188" s="141"/>
      <c r="B188" s="138"/>
      <c r="C188" s="142"/>
      <c r="D188" s="584"/>
      <c r="E188" s="142"/>
      <c r="F188" s="585"/>
      <c r="G188" s="138"/>
      <c r="H188" s="586"/>
      <c r="I188" s="15"/>
    </row>
    <row r="189" spans="1:9" ht="12.75" customHeight="1">
      <c r="A189" s="141"/>
      <c r="B189" s="138"/>
      <c r="C189" s="142"/>
      <c r="D189" s="584"/>
      <c r="E189" s="142"/>
      <c r="F189" s="585"/>
      <c r="G189" s="138"/>
      <c r="H189" s="586"/>
      <c r="I189" s="15"/>
    </row>
    <row r="190" spans="1:9" ht="12.75" customHeight="1">
      <c r="A190" s="141"/>
      <c r="B190" s="138"/>
      <c r="C190" s="142"/>
      <c r="D190" s="584"/>
      <c r="E190" s="142"/>
      <c r="F190" s="585"/>
      <c r="G190" s="138"/>
      <c r="H190" s="586"/>
      <c r="I190" s="15"/>
    </row>
    <row r="191" spans="1:9" ht="12.75" customHeight="1">
      <c r="A191" s="141"/>
      <c r="B191" s="138"/>
      <c r="C191" s="142"/>
      <c r="D191" s="584"/>
      <c r="E191" s="142"/>
      <c r="F191" s="585"/>
      <c r="G191" s="138"/>
      <c r="H191" s="586"/>
      <c r="I191" s="15"/>
    </row>
    <row r="192" spans="1:9" ht="12.75" customHeight="1">
      <c r="A192" s="141"/>
      <c r="B192" s="138"/>
      <c r="C192" s="142"/>
      <c r="D192" s="584"/>
      <c r="E192" s="142"/>
      <c r="F192" s="585"/>
      <c r="G192" s="138"/>
      <c r="H192" s="586"/>
      <c r="I192" s="15"/>
    </row>
    <row r="193" spans="1:9" ht="12.75" customHeight="1">
      <c r="A193" s="141"/>
      <c r="B193" s="138"/>
      <c r="C193" s="587"/>
      <c r="D193" s="588"/>
      <c r="E193" s="587"/>
      <c r="F193" s="589"/>
      <c r="G193" s="138"/>
      <c r="H193" s="586"/>
      <c r="I193" s="15"/>
    </row>
    <row r="194" spans="1:9" ht="12.75" customHeight="1">
      <c r="A194" s="143"/>
      <c r="B194" s="144"/>
      <c r="C194" s="145"/>
      <c r="D194" s="590"/>
      <c r="E194" s="145"/>
      <c r="F194" s="591"/>
      <c r="G194" s="138"/>
      <c r="H194" s="586"/>
      <c r="I194" s="15"/>
    </row>
    <row r="195" spans="1:9" ht="12.75" customHeight="1">
      <c r="A195" s="146"/>
      <c r="B195" s="144"/>
      <c r="C195" s="145"/>
      <c r="D195" s="590"/>
      <c r="E195" s="145"/>
      <c r="F195" s="591"/>
      <c r="G195" s="138"/>
      <c r="H195" s="586"/>
      <c r="I195" s="15"/>
    </row>
    <row r="196" spans="1:9" ht="12.75" customHeight="1">
      <c r="A196" s="146"/>
      <c r="B196" s="144"/>
      <c r="C196" s="145"/>
      <c r="D196" s="590"/>
      <c r="E196" s="145"/>
      <c r="F196" s="592"/>
      <c r="G196" s="138"/>
      <c r="H196" s="586"/>
      <c r="I196" s="15"/>
    </row>
    <row r="197" spans="1:9" ht="12.75" customHeight="1">
      <c r="A197" s="143"/>
      <c r="B197" s="144"/>
      <c r="C197" s="593"/>
      <c r="D197" s="594"/>
      <c r="E197" s="595"/>
      <c r="F197" s="596"/>
      <c r="G197" s="138"/>
      <c r="H197" s="586"/>
      <c r="I197" s="15"/>
    </row>
    <row r="198" spans="1:9" ht="12.75" customHeight="1">
      <c r="A198" s="143"/>
      <c r="B198" s="144"/>
      <c r="C198" s="147"/>
      <c r="D198" s="597"/>
      <c r="E198" s="147"/>
      <c r="F198" s="598"/>
      <c r="G198" s="138"/>
      <c r="H198" s="586"/>
      <c r="I198" s="15"/>
    </row>
    <row r="199" spans="1:9" ht="12.75" customHeight="1">
      <c r="A199" s="143"/>
      <c r="B199" s="144"/>
      <c r="C199" s="147"/>
      <c r="D199" s="597"/>
      <c r="E199" s="145"/>
      <c r="F199" s="599"/>
      <c r="G199" s="138"/>
      <c r="H199" s="586"/>
      <c r="I199" s="15"/>
    </row>
    <row r="200" spans="1:9" ht="12.75" customHeight="1">
      <c r="A200" s="143"/>
      <c r="B200" s="144"/>
      <c r="C200" s="145"/>
      <c r="D200" s="590"/>
      <c r="E200" s="145"/>
      <c r="F200" s="599"/>
      <c r="G200" s="138"/>
      <c r="H200" s="586"/>
      <c r="I200" s="15"/>
    </row>
    <row r="201" spans="1:9" ht="12.75" customHeight="1">
      <c r="A201" s="143"/>
      <c r="B201" s="144"/>
      <c r="C201" s="145"/>
      <c r="D201" s="590"/>
      <c r="E201" s="145"/>
      <c r="F201" s="599"/>
      <c r="G201" s="138"/>
      <c r="H201" s="586"/>
      <c r="I201" s="15"/>
    </row>
    <row r="202" spans="1:9" ht="12.75" customHeight="1">
      <c r="A202" s="146"/>
      <c r="B202" s="144"/>
      <c r="C202" s="145"/>
      <c r="D202" s="590"/>
      <c r="E202" s="145"/>
      <c r="F202" s="592"/>
      <c r="G202" s="138"/>
      <c r="H202" s="586"/>
      <c r="I202" s="15"/>
    </row>
    <row r="203" spans="1:9" ht="12.75" customHeight="1">
      <c r="A203" s="143"/>
      <c r="B203" s="144"/>
      <c r="C203" s="147"/>
      <c r="D203" s="597"/>
      <c r="E203" s="147"/>
      <c r="F203" s="600"/>
      <c r="G203" s="138"/>
      <c r="H203" s="586"/>
      <c r="I203" s="15"/>
    </row>
    <row r="204" spans="1:9" ht="12.75" customHeight="1">
      <c r="A204" s="143"/>
      <c r="B204" s="144"/>
      <c r="C204" s="145"/>
      <c r="D204" s="590"/>
      <c r="E204" s="145"/>
      <c r="F204" s="592"/>
      <c r="G204" s="138"/>
      <c r="H204" s="586"/>
      <c r="I204" s="15"/>
    </row>
    <row r="205" spans="1:9" ht="12.75" customHeight="1">
      <c r="A205" s="143"/>
      <c r="B205" s="144"/>
      <c r="C205" s="145"/>
      <c r="D205" s="590"/>
      <c r="E205" s="145"/>
      <c r="F205" s="592"/>
      <c r="G205" s="138"/>
      <c r="H205" s="586"/>
      <c r="I205" s="15"/>
    </row>
    <row r="206" spans="1:9" ht="12.75" customHeight="1">
      <c r="A206" s="143"/>
      <c r="B206" s="144"/>
      <c r="C206" s="145"/>
      <c r="D206" s="590"/>
      <c r="E206" s="145"/>
      <c r="F206" s="592"/>
      <c r="G206" s="138"/>
      <c r="H206" s="586"/>
      <c r="I206" s="15"/>
    </row>
    <row r="207" spans="1:9" ht="12.75" customHeight="1">
      <c r="A207" s="146"/>
      <c r="B207" s="144"/>
      <c r="C207" s="145"/>
      <c r="D207" s="590"/>
      <c r="E207" s="145"/>
      <c r="F207" s="591"/>
      <c r="G207" s="138"/>
      <c r="H207" s="586"/>
      <c r="I207" s="15"/>
    </row>
    <row r="208" spans="1:9" ht="12.75" customHeight="1">
      <c r="A208" s="143"/>
      <c r="B208" s="144"/>
      <c r="C208" s="593"/>
      <c r="D208" s="594"/>
      <c r="E208" s="142"/>
      <c r="F208" s="596"/>
      <c r="G208" s="138"/>
      <c r="H208" s="586"/>
      <c r="I208" s="15"/>
    </row>
    <row r="209" spans="1:9" ht="12.75" customHeight="1">
      <c r="A209" s="143"/>
      <c r="B209" s="144"/>
      <c r="C209" s="147"/>
      <c r="D209" s="597"/>
      <c r="E209" s="145"/>
      <c r="F209" s="592"/>
      <c r="G209" s="138"/>
      <c r="H209" s="586"/>
      <c r="I209" s="15"/>
    </row>
    <row r="210" spans="1:9" ht="12.75" customHeight="1">
      <c r="A210" s="143"/>
      <c r="B210" s="144"/>
      <c r="C210" s="145"/>
      <c r="D210" s="590"/>
      <c r="E210" s="145"/>
      <c r="F210" s="592"/>
      <c r="G210" s="138"/>
      <c r="H210" s="586"/>
      <c r="I210" s="15"/>
    </row>
    <row r="211" spans="1:9" ht="12.75" customHeight="1">
      <c r="A211" s="143"/>
      <c r="B211" s="144"/>
      <c r="C211" s="145"/>
      <c r="D211" s="590"/>
      <c r="E211" s="145"/>
      <c r="F211" s="592"/>
      <c r="G211" s="138"/>
      <c r="H211" s="586"/>
      <c r="I211" s="15"/>
    </row>
    <row r="212" spans="1:9" ht="12.75" customHeight="1">
      <c r="A212" s="143"/>
      <c r="B212" s="144"/>
      <c r="C212" s="145"/>
      <c r="D212" s="590"/>
      <c r="E212" s="601"/>
      <c r="F212" s="591"/>
      <c r="G212" s="145"/>
      <c r="H212" s="586"/>
      <c r="I212" s="15"/>
    </row>
    <row r="213" spans="1:10" ht="12.75" customHeight="1">
      <c r="A213" s="602"/>
      <c r="B213" s="603"/>
      <c r="C213" s="604"/>
      <c r="D213" s="605"/>
      <c r="E213" s="604"/>
      <c r="F213" s="606"/>
      <c r="G213" s="607"/>
      <c r="H213" s="608"/>
      <c r="I213" s="15"/>
      <c r="J213" s="552"/>
    </row>
    <row r="214" spans="1:10" ht="12.75" customHeight="1">
      <c r="A214" s="143"/>
      <c r="B214" s="609"/>
      <c r="C214" s="610"/>
      <c r="D214" s="597"/>
      <c r="E214" s="609"/>
      <c r="F214" s="610"/>
      <c r="G214" s="597"/>
      <c r="H214" s="597"/>
      <c r="I214" s="15"/>
      <c r="J214" s="552"/>
    </row>
    <row r="215" spans="1:10" ht="12.75" customHeight="1">
      <c r="A215" s="143"/>
      <c r="B215" s="611"/>
      <c r="C215" s="612"/>
      <c r="D215" s="590"/>
      <c r="E215" s="611"/>
      <c r="F215" s="613"/>
      <c r="G215" s="614"/>
      <c r="H215" s="615"/>
      <c r="I215" s="15"/>
      <c r="J215" s="552"/>
    </row>
    <row r="216" spans="1:9" ht="12.75" customHeight="1">
      <c r="A216" s="143"/>
      <c r="B216" s="611"/>
      <c r="C216" s="612"/>
      <c r="D216" s="590"/>
      <c r="E216" s="611"/>
      <c r="F216" s="613"/>
      <c r="G216" s="614"/>
      <c r="H216" s="615"/>
      <c r="I216" s="15"/>
    </row>
    <row r="217" spans="1:9" ht="12.75" customHeight="1">
      <c r="A217" s="143"/>
      <c r="B217" s="616"/>
      <c r="C217" s="145"/>
      <c r="D217" s="590"/>
      <c r="E217" s="616"/>
      <c r="F217" s="617"/>
      <c r="G217" s="591"/>
      <c r="H217" s="618"/>
      <c r="I217" s="15"/>
    </row>
    <row r="218" spans="1:9" ht="12.75" customHeight="1">
      <c r="A218" s="395"/>
      <c r="B218" s="396"/>
      <c r="C218" s="397"/>
      <c r="D218" s="398"/>
      <c r="E218" s="399"/>
      <c r="F218" s="400"/>
      <c r="G218" s="444"/>
      <c r="H218" s="396"/>
      <c r="I218" s="15"/>
    </row>
    <row r="219" spans="1:9" ht="12.75" customHeight="1">
      <c r="A219" s="395"/>
      <c r="B219" s="396"/>
      <c r="C219" s="397"/>
      <c r="D219" s="398"/>
      <c r="E219" s="399"/>
      <c r="F219" s="400"/>
      <c r="G219" s="444"/>
      <c r="H219" s="396"/>
      <c r="I219" s="15"/>
    </row>
    <row r="220" spans="1:9" ht="12.75" customHeight="1">
      <c r="A220" s="395"/>
      <c r="B220" s="396"/>
      <c r="C220" s="397"/>
      <c r="D220" s="398"/>
      <c r="E220" s="399"/>
      <c r="F220" s="400"/>
      <c r="G220" s="444"/>
      <c r="H220" s="396"/>
      <c r="I220" s="15"/>
    </row>
    <row r="221" spans="1:9" ht="12.75" customHeight="1">
      <c r="A221" s="395"/>
      <c r="B221" s="396"/>
      <c r="C221" s="397"/>
      <c r="D221" s="398"/>
      <c r="E221" s="399"/>
      <c r="F221" s="400"/>
      <c r="G221" s="444"/>
      <c r="H221" s="396"/>
      <c r="I221" s="15"/>
    </row>
    <row r="222" spans="1:9" ht="12.75" customHeight="1">
      <c r="A222" s="395"/>
      <c r="B222" s="396"/>
      <c r="C222" s="397"/>
      <c r="D222" s="398"/>
      <c r="E222" s="399"/>
      <c r="F222" s="400"/>
      <c r="G222" s="444"/>
      <c r="H222" s="396"/>
      <c r="I222" s="15"/>
    </row>
    <row r="223" spans="1:9" ht="12.75" customHeight="1">
      <c r="A223" s="395"/>
      <c r="B223" s="396"/>
      <c r="C223" s="397"/>
      <c r="D223" s="398"/>
      <c r="E223" s="399"/>
      <c r="F223" s="400"/>
      <c r="G223" s="444"/>
      <c r="H223" s="396"/>
      <c r="I223" s="15"/>
    </row>
    <row r="224" spans="1:9" ht="12.75" customHeight="1">
      <c r="A224" s="395"/>
      <c r="B224" s="396"/>
      <c r="C224" s="397"/>
      <c r="D224" s="398"/>
      <c r="E224" s="399"/>
      <c r="F224" s="400"/>
      <c r="G224" s="444"/>
      <c r="H224" s="396"/>
      <c r="I224" s="15"/>
    </row>
    <row r="225" spans="1:9" ht="12.75" customHeight="1">
      <c r="A225" s="395"/>
      <c r="B225" s="396"/>
      <c r="C225" s="397"/>
      <c r="D225" s="398"/>
      <c r="E225" s="399"/>
      <c r="F225" s="400"/>
      <c r="G225" s="444"/>
      <c r="H225" s="396"/>
      <c r="I225" s="15"/>
    </row>
    <row r="226" spans="1:9" ht="12.75" customHeight="1">
      <c r="A226" s="395"/>
      <c r="B226" s="396"/>
      <c r="C226" s="397"/>
      <c r="D226" s="398"/>
      <c r="E226" s="399"/>
      <c r="F226" s="400"/>
      <c r="G226" s="444"/>
      <c r="H226" s="396"/>
      <c r="I226" s="15"/>
    </row>
    <row r="227" spans="1:9" ht="12.75" customHeight="1">
      <c r="A227" s="395"/>
      <c r="B227" s="396"/>
      <c r="C227" s="397"/>
      <c r="D227" s="398"/>
      <c r="E227" s="399"/>
      <c r="F227" s="400"/>
      <c r="G227" s="444"/>
      <c r="H227" s="396"/>
      <c r="I227" s="15"/>
    </row>
    <row r="228" spans="1:9" ht="12.75" customHeight="1">
      <c r="A228" s="395"/>
      <c r="B228" s="396"/>
      <c r="C228" s="397"/>
      <c r="D228" s="398"/>
      <c r="E228" s="399"/>
      <c r="F228" s="400"/>
      <c r="G228" s="444"/>
      <c r="H228" s="396"/>
      <c r="I228" s="15"/>
    </row>
    <row r="229" spans="1:9" ht="12.75" customHeight="1">
      <c r="A229" s="395"/>
      <c r="B229" s="396"/>
      <c r="C229" s="397"/>
      <c r="D229" s="398"/>
      <c r="E229" s="399"/>
      <c r="F229" s="400"/>
      <c r="G229" s="444"/>
      <c r="H229" s="396"/>
      <c r="I229" s="15"/>
    </row>
    <row r="230" spans="1:9" ht="12.75" customHeight="1">
      <c r="A230" s="395"/>
      <c r="B230" s="396"/>
      <c r="C230" s="397"/>
      <c r="D230" s="398"/>
      <c r="E230" s="399"/>
      <c r="F230" s="400"/>
      <c r="G230" s="444"/>
      <c r="H230" s="396"/>
      <c r="I230" s="15"/>
    </row>
    <row r="231" spans="1:9" ht="12.75" customHeight="1">
      <c r="A231" s="395"/>
      <c r="B231" s="396"/>
      <c r="C231" s="397"/>
      <c r="D231" s="398"/>
      <c r="E231" s="399"/>
      <c r="F231" s="400"/>
      <c r="G231" s="444"/>
      <c r="H231" s="396"/>
      <c r="I231" s="15"/>
    </row>
    <row r="232" spans="1:9" ht="12.75" customHeight="1">
      <c r="A232" s="395"/>
      <c r="B232" s="396"/>
      <c r="C232" s="397"/>
      <c r="D232" s="398"/>
      <c r="E232" s="399"/>
      <c r="F232" s="400"/>
      <c r="G232" s="444"/>
      <c r="H232" s="396"/>
      <c r="I232" s="15"/>
    </row>
    <row r="233" spans="1:9" ht="12.75" customHeight="1">
      <c r="A233" s="395"/>
      <c r="B233" s="396"/>
      <c r="C233" s="397"/>
      <c r="D233" s="398"/>
      <c r="E233" s="399"/>
      <c r="F233" s="400"/>
      <c r="G233" s="444"/>
      <c r="H233" s="396"/>
      <c r="I233" s="15"/>
    </row>
    <row r="234" spans="1:9" ht="12.75" customHeight="1">
      <c r="A234" s="395"/>
      <c r="B234" s="396"/>
      <c r="C234" s="397"/>
      <c r="D234" s="398"/>
      <c r="E234" s="399"/>
      <c r="F234" s="400"/>
      <c r="G234" s="444"/>
      <c r="H234" s="396"/>
      <c r="I234" s="15"/>
    </row>
    <row r="235" spans="1:9" ht="12.75" customHeight="1">
      <c r="A235" s="395"/>
      <c r="B235" s="396"/>
      <c r="C235" s="397"/>
      <c r="D235" s="398"/>
      <c r="E235" s="399"/>
      <c r="F235" s="400"/>
      <c r="G235" s="444"/>
      <c r="H235" s="396"/>
      <c r="I235" s="15"/>
    </row>
    <row r="236" spans="1:9" ht="12.75" customHeight="1">
      <c r="A236" s="395"/>
      <c r="B236" s="396"/>
      <c r="C236" s="397"/>
      <c r="D236" s="398"/>
      <c r="E236" s="399"/>
      <c r="F236" s="400"/>
      <c r="G236" s="444"/>
      <c r="H236" s="396"/>
      <c r="I236" s="15"/>
    </row>
    <row r="237" spans="1:9" ht="12.75" customHeight="1">
      <c r="A237" s="395"/>
      <c r="B237" s="396"/>
      <c r="C237" s="397"/>
      <c r="D237" s="398"/>
      <c r="E237" s="399"/>
      <c r="F237" s="400"/>
      <c r="G237" s="444"/>
      <c r="H237" s="396"/>
      <c r="I237" s="15"/>
    </row>
    <row r="238" spans="1:9" ht="12.75" customHeight="1">
      <c r="A238" s="395"/>
      <c r="B238" s="396"/>
      <c r="C238" s="397"/>
      <c r="D238" s="398"/>
      <c r="E238" s="399"/>
      <c r="F238" s="400"/>
      <c r="G238" s="444"/>
      <c r="H238" s="396"/>
      <c r="I238" s="15"/>
    </row>
    <row r="239" spans="1:9" ht="12.75" customHeight="1">
      <c r="A239" s="395"/>
      <c r="B239" s="396"/>
      <c r="C239" s="397"/>
      <c r="D239" s="398"/>
      <c r="E239" s="399"/>
      <c r="F239" s="400"/>
      <c r="G239" s="444"/>
      <c r="H239" s="396"/>
      <c r="I239" s="15"/>
    </row>
    <row r="240" spans="1:9" ht="12.75" customHeight="1">
      <c r="A240" s="395"/>
      <c r="B240" s="396"/>
      <c r="C240" s="397"/>
      <c r="D240" s="398"/>
      <c r="E240" s="399"/>
      <c r="F240" s="400"/>
      <c r="G240" s="444"/>
      <c r="H240" s="396"/>
      <c r="I240" s="15"/>
    </row>
    <row r="241" spans="1:9" ht="12.75" customHeight="1">
      <c r="A241" s="395"/>
      <c r="B241" s="396"/>
      <c r="C241" s="397"/>
      <c r="D241" s="398"/>
      <c r="E241" s="399"/>
      <c r="F241" s="400"/>
      <c r="G241" s="444"/>
      <c r="H241" s="396"/>
      <c r="I241" s="15"/>
    </row>
    <row r="242" spans="1:9" ht="12.75" customHeight="1">
      <c r="A242" s="395"/>
      <c r="B242" s="396"/>
      <c r="C242" s="397"/>
      <c r="D242" s="398"/>
      <c r="E242" s="399"/>
      <c r="F242" s="400"/>
      <c r="G242" s="444"/>
      <c r="H242" s="396"/>
      <c r="I242" s="15"/>
    </row>
    <row r="243" spans="1:9" ht="12.75" customHeight="1">
      <c r="A243" s="395"/>
      <c r="B243" s="396"/>
      <c r="C243" s="397"/>
      <c r="D243" s="398"/>
      <c r="E243" s="399"/>
      <c r="F243" s="400"/>
      <c r="G243" s="444"/>
      <c r="H243" s="396"/>
      <c r="I243" s="15"/>
    </row>
    <row r="244" spans="1:9" ht="12.75" customHeight="1">
      <c r="A244" s="395"/>
      <c r="B244" s="396"/>
      <c r="C244" s="397"/>
      <c r="D244" s="398"/>
      <c r="E244" s="399"/>
      <c r="F244" s="400"/>
      <c r="G244" s="444"/>
      <c r="H244" s="396"/>
      <c r="I244" s="15"/>
    </row>
    <row r="245" spans="1:9" ht="12.75" customHeight="1">
      <c r="A245" s="395"/>
      <c r="B245" s="396"/>
      <c r="C245" s="397"/>
      <c r="D245" s="398"/>
      <c r="E245" s="399"/>
      <c r="F245" s="400"/>
      <c r="G245" s="444"/>
      <c r="H245" s="396"/>
      <c r="I245" s="15"/>
    </row>
    <row r="246" spans="1:9" ht="12.75" customHeight="1">
      <c r="A246" s="395"/>
      <c r="B246" s="396"/>
      <c r="C246" s="397"/>
      <c r="D246" s="398"/>
      <c r="E246" s="399"/>
      <c r="F246" s="400"/>
      <c r="G246" s="444"/>
      <c r="H246" s="396"/>
      <c r="I246" s="15"/>
    </row>
    <row r="247" spans="1:9" ht="12.75" customHeight="1">
      <c r="A247" s="395"/>
      <c r="B247" s="396"/>
      <c r="C247" s="397"/>
      <c r="D247" s="398"/>
      <c r="E247" s="399"/>
      <c r="F247" s="400"/>
      <c r="G247" s="444"/>
      <c r="H247" s="396"/>
      <c r="I247" s="15"/>
    </row>
    <row r="248" spans="1:9" ht="12.75" customHeight="1">
      <c r="A248" s="395"/>
      <c r="B248" s="396"/>
      <c r="C248" s="397"/>
      <c r="D248" s="398"/>
      <c r="E248" s="399"/>
      <c r="F248" s="400"/>
      <c r="G248" s="444"/>
      <c r="H248" s="396"/>
      <c r="I248" s="15"/>
    </row>
    <row r="249" spans="1:9" ht="12.75" customHeight="1">
      <c r="A249" s="395"/>
      <c r="B249" s="396"/>
      <c r="C249" s="397"/>
      <c r="D249" s="398"/>
      <c r="E249" s="399"/>
      <c r="F249" s="400"/>
      <c r="G249" s="444"/>
      <c r="H249" s="396"/>
      <c r="I249" s="15"/>
    </row>
    <row r="250" spans="1:9" ht="12.75" customHeight="1">
      <c r="A250" s="395"/>
      <c r="B250" s="396"/>
      <c r="C250" s="397"/>
      <c r="D250" s="398"/>
      <c r="E250" s="399"/>
      <c r="F250" s="400"/>
      <c r="G250" s="444"/>
      <c r="H250" s="396"/>
      <c r="I250" s="15"/>
    </row>
    <row r="251" spans="1:9" ht="12.75" customHeight="1">
      <c r="A251" s="395"/>
      <c r="B251" s="396"/>
      <c r="C251" s="397"/>
      <c r="D251" s="398"/>
      <c r="E251" s="399"/>
      <c r="F251" s="400"/>
      <c r="G251" s="444"/>
      <c r="H251" s="396"/>
      <c r="I251" s="15"/>
    </row>
    <row r="252" spans="1:9" ht="12.75" customHeight="1">
      <c r="A252" s="395"/>
      <c r="B252" s="396"/>
      <c r="C252" s="397"/>
      <c r="D252" s="398"/>
      <c r="E252" s="399"/>
      <c r="F252" s="400"/>
      <c r="G252" s="444"/>
      <c r="H252" s="396"/>
      <c r="I252" s="15"/>
    </row>
    <row r="253" spans="1:9" ht="12.75" customHeight="1">
      <c r="A253" s="395"/>
      <c r="B253" s="396"/>
      <c r="C253" s="397"/>
      <c r="D253" s="398"/>
      <c r="E253" s="399"/>
      <c r="F253" s="400"/>
      <c r="G253" s="444"/>
      <c r="H253" s="396"/>
      <c r="I253" s="15"/>
    </row>
    <row r="254" spans="1:9" ht="12.75" customHeight="1">
      <c r="A254" s="395"/>
      <c r="B254" s="396"/>
      <c r="C254" s="397"/>
      <c r="D254" s="398"/>
      <c r="E254" s="399"/>
      <c r="F254" s="400"/>
      <c r="G254" s="444"/>
      <c r="H254" s="396"/>
      <c r="I254" s="15"/>
    </row>
    <row r="255" spans="1:9" ht="12.75" customHeight="1">
      <c r="A255" s="395"/>
      <c r="B255" s="396"/>
      <c r="C255" s="397"/>
      <c r="D255" s="398"/>
      <c r="E255" s="399"/>
      <c r="F255" s="400"/>
      <c r="G255" s="444"/>
      <c r="H255" s="396"/>
      <c r="I255" s="15"/>
    </row>
    <row r="256" spans="1:9" ht="12.75" customHeight="1">
      <c r="A256" s="395"/>
      <c r="B256" s="396"/>
      <c r="C256" s="397"/>
      <c r="D256" s="398"/>
      <c r="E256" s="399"/>
      <c r="F256" s="400"/>
      <c r="G256" s="444"/>
      <c r="H256" s="396"/>
      <c r="I256" s="15"/>
    </row>
    <row r="257" spans="1:9" ht="12.75" customHeight="1">
      <c r="A257" s="395"/>
      <c r="B257" s="396"/>
      <c r="C257" s="397"/>
      <c r="D257" s="398"/>
      <c r="E257" s="399"/>
      <c r="F257" s="400"/>
      <c r="G257" s="444"/>
      <c r="H257" s="396"/>
      <c r="I257" s="15"/>
    </row>
    <row r="258" spans="1:9" ht="12.75" customHeight="1">
      <c r="A258" s="395"/>
      <c r="B258" s="396"/>
      <c r="C258" s="397"/>
      <c r="D258" s="398"/>
      <c r="E258" s="397"/>
      <c r="F258" s="400"/>
      <c r="G258" s="444"/>
      <c r="H258" s="396"/>
      <c r="I258" s="15"/>
    </row>
    <row r="259" spans="1:9" ht="12.75" customHeight="1">
      <c r="A259" s="395"/>
      <c r="B259" s="406"/>
      <c r="C259" s="397"/>
      <c r="D259" s="398"/>
      <c r="E259" s="399"/>
      <c r="F259" s="400"/>
      <c r="G259" s="444"/>
      <c r="H259" s="396"/>
      <c r="I259" s="15"/>
    </row>
    <row r="260" spans="1:9" ht="12.75" customHeight="1">
      <c r="A260" s="395"/>
      <c r="B260" s="406"/>
      <c r="C260" s="407"/>
      <c r="D260" s="408"/>
      <c r="E260" s="409"/>
      <c r="F260" s="394"/>
      <c r="G260" s="444"/>
      <c r="H260" s="396"/>
      <c r="I260" s="15"/>
    </row>
    <row r="261" spans="1:9" ht="12.75" customHeight="1">
      <c r="A261" s="395"/>
      <c r="B261" s="406"/>
      <c r="C261" s="407"/>
      <c r="D261" s="408"/>
      <c r="E261" s="409"/>
      <c r="F261" s="394"/>
      <c r="G261" s="444"/>
      <c r="H261" s="396"/>
      <c r="I261" s="15"/>
    </row>
    <row r="262" spans="1:9" ht="12.75" customHeight="1">
      <c r="A262" s="405"/>
      <c r="B262" s="406"/>
      <c r="C262" s="407"/>
      <c r="D262" s="408"/>
      <c r="E262" s="409"/>
      <c r="F262" s="394"/>
      <c r="G262" s="444"/>
      <c r="H262" s="396"/>
      <c r="I262" s="15"/>
    </row>
    <row r="263" spans="1:9" ht="12.75" customHeight="1">
      <c r="A263" s="405"/>
      <c r="B263" s="406"/>
      <c r="C263" s="407"/>
      <c r="D263" s="408"/>
      <c r="E263" s="409"/>
      <c r="F263" s="394"/>
      <c r="G263" s="444"/>
      <c r="H263" s="396"/>
      <c r="I263" s="15"/>
    </row>
    <row r="264" spans="1:9" ht="12.75" customHeight="1">
      <c r="A264" s="395"/>
      <c r="B264" s="396"/>
      <c r="C264" s="397"/>
      <c r="D264" s="398"/>
      <c r="E264" s="399"/>
      <c r="F264" s="400"/>
      <c r="G264" s="444"/>
      <c r="H264" s="396"/>
      <c r="I264" s="15"/>
    </row>
    <row r="265" spans="1:9" ht="12.75" customHeight="1">
      <c r="A265" s="395"/>
      <c r="B265" s="396"/>
      <c r="C265" s="397"/>
      <c r="D265" s="398"/>
      <c r="E265" s="399"/>
      <c r="F265" s="400"/>
      <c r="G265" s="444"/>
      <c r="H265" s="396"/>
      <c r="I265" s="15"/>
    </row>
    <row r="266" spans="1:9" ht="12.75" customHeight="1">
      <c r="A266" s="395"/>
      <c r="B266" s="406"/>
      <c r="C266" s="397"/>
      <c r="D266" s="398"/>
      <c r="E266" s="409"/>
      <c r="F266" s="394"/>
      <c r="G266" s="444"/>
      <c r="H266" s="396"/>
      <c r="I266" s="15"/>
    </row>
    <row r="267" spans="1:9" ht="12.75" customHeight="1">
      <c r="A267" s="395"/>
      <c r="B267" s="406"/>
      <c r="C267" s="407"/>
      <c r="D267" s="408"/>
      <c r="E267" s="409"/>
      <c r="F267" s="394"/>
      <c r="G267" s="444"/>
      <c r="H267" s="396"/>
      <c r="I267" s="15"/>
    </row>
    <row r="268" spans="1:9" ht="12.75" customHeight="1">
      <c r="A268" s="405"/>
      <c r="B268" s="396"/>
      <c r="C268" s="401"/>
      <c r="D268" s="402"/>
      <c r="E268" s="403"/>
      <c r="F268" s="404"/>
      <c r="G268" s="444"/>
      <c r="H268" s="396"/>
      <c r="I268" s="15"/>
    </row>
    <row r="269" spans="1:9" ht="12.75" customHeight="1">
      <c r="A269" s="405"/>
      <c r="B269" s="406"/>
      <c r="C269" s="407"/>
      <c r="D269" s="408"/>
      <c r="E269" s="409"/>
      <c r="F269" s="394"/>
      <c r="G269" s="444"/>
      <c r="H269" s="396"/>
      <c r="I269" s="15"/>
    </row>
    <row r="270" spans="1:9" ht="12.75" customHeight="1">
      <c r="A270" s="395"/>
      <c r="B270" s="406"/>
      <c r="C270" s="397"/>
      <c r="D270" s="398"/>
      <c r="E270" s="399"/>
      <c r="F270" s="400"/>
      <c r="G270" s="444"/>
      <c r="H270" s="399"/>
      <c r="I270" s="15"/>
    </row>
    <row r="271" spans="1:9" ht="12.75" customHeight="1">
      <c r="A271" s="395"/>
      <c r="B271" s="441"/>
      <c r="C271" s="399"/>
      <c r="D271" s="400"/>
      <c r="E271" s="403"/>
      <c r="F271" s="404"/>
      <c r="G271" s="414"/>
      <c r="H271" s="399"/>
      <c r="I271" s="15"/>
    </row>
    <row r="272" spans="1:9" ht="12.75" customHeight="1">
      <c r="A272" s="395"/>
      <c r="B272" s="441"/>
      <c r="C272" s="409"/>
      <c r="D272" s="394"/>
      <c r="E272" s="409"/>
      <c r="F272" s="394"/>
      <c r="G272" s="414"/>
      <c r="H272" s="399"/>
      <c r="I272" s="15"/>
    </row>
    <row r="273" spans="1:9" ht="12.75" customHeight="1">
      <c r="A273" s="405"/>
      <c r="B273" s="441"/>
      <c r="C273" s="409"/>
      <c r="D273" s="394"/>
      <c r="E273" s="451"/>
      <c r="F273" s="425"/>
      <c r="G273" s="396"/>
      <c r="H273" s="414"/>
      <c r="I273" s="15"/>
    </row>
    <row r="274" spans="1:9" ht="12.75" customHeight="1">
      <c r="A274" s="405"/>
      <c r="B274" s="441"/>
      <c r="C274" s="409"/>
      <c r="D274" s="394"/>
      <c r="E274" s="424"/>
      <c r="F274" s="425"/>
      <c r="G274" s="414"/>
      <c r="H274" s="399"/>
      <c r="I274" s="15"/>
    </row>
    <row r="275" spans="1:9" ht="12.75" customHeight="1">
      <c r="A275" s="454"/>
      <c r="B275" s="481"/>
      <c r="C275" s="482"/>
      <c r="D275" s="483"/>
      <c r="E275" s="484"/>
      <c r="F275" s="485"/>
      <c r="G275" s="445"/>
      <c r="H275" s="442"/>
      <c r="I275" s="15"/>
    </row>
    <row r="276" spans="1:9" ht="12.75" customHeight="1">
      <c r="A276" s="454"/>
      <c r="B276" s="443"/>
      <c r="C276" s="482"/>
      <c r="D276" s="483"/>
      <c r="E276" s="452"/>
      <c r="F276" s="453"/>
      <c r="G276" s="446"/>
      <c r="H276" s="447"/>
      <c r="I276" s="15"/>
    </row>
    <row r="277" spans="1:9" ht="12.75" customHeight="1">
      <c r="A277" s="395"/>
      <c r="B277" s="442"/>
      <c r="C277" s="403"/>
      <c r="D277" s="404"/>
      <c r="E277" s="486"/>
      <c r="F277" s="471"/>
      <c r="G277" s="56"/>
      <c r="H277" s="448"/>
      <c r="I277" s="15"/>
    </row>
    <row r="278" spans="1:9" ht="12.75" customHeight="1">
      <c r="A278" s="434"/>
      <c r="B278" s="455"/>
      <c r="C278" s="456"/>
      <c r="D278" s="457"/>
      <c r="E278" s="455"/>
      <c r="F278" s="487"/>
      <c r="G278" s="457"/>
      <c r="H278" s="458"/>
      <c r="I278" s="15"/>
    </row>
    <row r="279" spans="1:9" ht="12.75" customHeight="1">
      <c r="A279" s="434"/>
      <c r="B279" s="462"/>
      <c r="C279" s="492"/>
      <c r="D279" s="460"/>
      <c r="E279" s="493"/>
      <c r="F279" s="461"/>
      <c r="G279" s="449"/>
      <c r="H279" s="450"/>
      <c r="I279" s="15"/>
    </row>
    <row r="280" spans="1:9" ht="12.75" customHeight="1">
      <c r="A280" s="395"/>
      <c r="B280" s="494"/>
      <c r="C280" s="473"/>
      <c r="D280" s="495"/>
      <c r="E280" s="494"/>
      <c r="F280" s="473"/>
      <c r="G280" s="496"/>
      <c r="H280" s="497"/>
      <c r="I280" s="15"/>
    </row>
    <row r="281" spans="1:9" ht="12.75" customHeight="1">
      <c r="A281" s="395"/>
      <c r="B281" s="488"/>
      <c r="C281" s="489"/>
      <c r="D281" s="490"/>
      <c r="E281" s="419"/>
      <c r="F281" s="415"/>
      <c r="G281" s="444"/>
      <c r="H281" s="491"/>
      <c r="I281" s="15"/>
    </row>
    <row r="282" spans="1:9" ht="12.75" customHeight="1">
      <c r="A282" s="395"/>
      <c r="B282" s="406"/>
      <c r="C282" s="463"/>
      <c r="D282" s="408"/>
      <c r="E282" s="409"/>
      <c r="F282" s="424"/>
      <c r="G282" s="459"/>
      <c r="H282" s="472"/>
      <c r="I282" s="15"/>
    </row>
    <row r="283" spans="1:9" ht="12.75" customHeight="1">
      <c r="A283" s="395"/>
      <c r="B283" s="406"/>
      <c r="C283" s="463"/>
      <c r="D283" s="408"/>
      <c r="E283" s="409"/>
      <c r="F283" s="424"/>
      <c r="G283" s="459"/>
      <c r="H283" s="472"/>
      <c r="I283" s="15"/>
    </row>
    <row r="284" spans="1:9" ht="12.75" customHeight="1">
      <c r="A284" s="395"/>
      <c r="B284" s="396"/>
      <c r="C284" s="397"/>
      <c r="D284" s="398"/>
      <c r="E284" s="399"/>
      <c r="F284" s="400"/>
      <c r="G284" s="382"/>
      <c r="H284" s="380"/>
      <c r="I284" s="15"/>
    </row>
    <row r="285" spans="1:9" ht="12.75" customHeight="1">
      <c r="A285" s="395"/>
      <c r="B285" s="396"/>
      <c r="C285" s="397"/>
      <c r="D285" s="398"/>
      <c r="E285" s="399"/>
      <c r="F285" s="400"/>
      <c r="G285" s="382"/>
      <c r="H285" s="380"/>
      <c r="I285" s="15"/>
    </row>
    <row r="286" spans="1:9" ht="12.75" customHeight="1">
      <c r="A286" s="395"/>
      <c r="B286" s="396"/>
      <c r="C286" s="397"/>
      <c r="D286" s="398"/>
      <c r="E286" s="399"/>
      <c r="F286" s="400"/>
      <c r="G286" s="382"/>
      <c r="H286" s="380"/>
      <c r="I286" s="15"/>
    </row>
    <row r="287" spans="1:9" ht="12.75" customHeight="1">
      <c r="A287" s="395"/>
      <c r="B287" s="396"/>
      <c r="C287" s="397"/>
      <c r="D287" s="398"/>
      <c r="E287" s="399"/>
      <c r="F287" s="400"/>
      <c r="G287" s="382"/>
      <c r="H287" s="380"/>
      <c r="I287" s="15"/>
    </row>
    <row r="288" spans="1:9" ht="12.75" customHeight="1">
      <c r="A288" s="395"/>
      <c r="B288" s="396"/>
      <c r="C288" s="397"/>
      <c r="D288" s="398"/>
      <c r="E288" s="399"/>
      <c r="F288" s="400"/>
      <c r="G288" s="382"/>
      <c r="H288" s="380"/>
      <c r="I288" s="15"/>
    </row>
    <row r="289" spans="1:9" ht="12.75" customHeight="1">
      <c r="A289" s="395"/>
      <c r="B289" s="396"/>
      <c r="C289" s="397"/>
      <c r="D289" s="398"/>
      <c r="E289" s="399"/>
      <c r="F289" s="400"/>
      <c r="G289" s="382"/>
      <c r="H289" s="380"/>
      <c r="I289" s="15"/>
    </row>
    <row r="290" spans="1:9" ht="12.75" customHeight="1">
      <c r="A290" s="395"/>
      <c r="B290" s="396"/>
      <c r="C290" s="397"/>
      <c r="D290" s="398"/>
      <c r="E290" s="399"/>
      <c r="F290" s="400"/>
      <c r="G290" s="382"/>
      <c r="H290" s="380"/>
      <c r="I290" s="15"/>
    </row>
    <row r="291" spans="1:9" ht="12.75" customHeight="1">
      <c r="A291" s="395"/>
      <c r="B291" s="396"/>
      <c r="C291" s="397"/>
      <c r="D291" s="398"/>
      <c r="E291" s="399"/>
      <c r="F291" s="400"/>
      <c r="G291" s="382"/>
      <c r="H291" s="380"/>
      <c r="I291" s="15"/>
    </row>
    <row r="292" spans="1:9" ht="12.75" customHeight="1">
      <c r="A292" s="395"/>
      <c r="B292" s="396"/>
      <c r="C292" s="397"/>
      <c r="D292" s="398"/>
      <c r="E292" s="399"/>
      <c r="F292" s="400"/>
      <c r="G292" s="382"/>
      <c r="H292" s="380"/>
      <c r="I292" s="15"/>
    </row>
    <row r="293" spans="1:9" ht="12.75" customHeight="1">
      <c r="A293" s="395"/>
      <c r="B293" s="396"/>
      <c r="C293" s="397"/>
      <c r="D293" s="398"/>
      <c r="E293" s="399"/>
      <c r="F293" s="400"/>
      <c r="G293" s="382"/>
      <c r="H293" s="380"/>
      <c r="I293" s="15"/>
    </row>
    <row r="294" spans="1:9" ht="12.75" customHeight="1">
      <c r="A294" s="395"/>
      <c r="B294" s="396"/>
      <c r="C294" s="397"/>
      <c r="D294" s="398"/>
      <c r="E294" s="399"/>
      <c r="F294" s="400"/>
      <c r="G294" s="382"/>
      <c r="H294" s="380"/>
      <c r="I294" s="15"/>
    </row>
    <row r="295" spans="1:9" ht="12.75" customHeight="1">
      <c r="A295" s="395"/>
      <c r="B295" s="396"/>
      <c r="C295" s="397"/>
      <c r="D295" s="398"/>
      <c r="E295" s="399"/>
      <c r="F295" s="400"/>
      <c r="G295" s="382"/>
      <c r="H295" s="380"/>
      <c r="I295" s="15"/>
    </row>
    <row r="296" spans="1:9" ht="12.75" customHeight="1">
      <c r="A296" s="395"/>
      <c r="B296" s="396"/>
      <c r="C296" s="397"/>
      <c r="D296" s="398"/>
      <c r="E296" s="399"/>
      <c r="F296" s="400"/>
      <c r="G296" s="382"/>
      <c r="H296" s="380"/>
      <c r="I296" s="15"/>
    </row>
    <row r="297" spans="1:9" ht="12.75" customHeight="1">
      <c r="A297" s="395"/>
      <c r="B297" s="396"/>
      <c r="C297" s="397"/>
      <c r="D297" s="398"/>
      <c r="E297" s="399"/>
      <c r="F297" s="400"/>
      <c r="G297" s="382"/>
      <c r="H297" s="380"/>
      <c r="I297" s="15"/>
    </row>
    <row r="298" spans="1:9" ht="12.75" customHeight="1">
      <c r="A298" s="395"/>
      <c r="B298" s="396"/>
      <c r="C298" s="397"/>
      <c r="D298" s="398"/>
      <c r="E298" s="399"/>
      <c r="F298" s="400"/>
      <c r="G298" s="382"/>
      <c r="H298" s="380"/>
      <c r="I298" s="15"/>
    </row>
    <row r="299" spans="1:9" ht="12.75" customHeight="1">
      <c r="A299" s="395"/>
      <c r="B299" s="396"/>
      <c r="C299" s="397"/>
      <c r="D299" s="398"/>
      <c r="E299" s="399"/>
      <c r="F299" s="400"/>
      <c r="G299" s="382"/>
      <c r="H299" s="380"/>
      <c r="I299" s="15"/>
    </row>
    <row r="300" spans="1:9" ht="12.75" customHeight="1">
      <c r="A300" s="395"/>
      <c r="B300" s="396"/>
      <c r="C300" s="397"/>
      <c r="D300" s="398"/>
      <c r="E300" s="399"/>
      <c r="F300" s="400"/>
      <c r="G300" s="382"/>
      <c r="H300" s="380"/>
      <c r="I300" s="15"/>
    </row>
    <row r="301" spans="1:9" ht="12.75" customHeight="1">
      <c r="A301" s="395"/>
      <c r="B301" s="396"/>
      <c r="C301" s="397"/>
      <c r="D301" s="398"/>
      <c r="E301" s="399"/>
      <c r="F301" s="400"/>
      <c r="G301" s="382"/>
      <c r="H301" s="380"/>
      <c r="I301" s="15"/>
    </row>
    <row r="302" spans="1:9" ht="12.75" customHeight="1">
      <c r="A302" s="395"/>
      <c r="B302" s="396"/>
      <c r="C302" s="397"/>
      <c r="D302" s="398"/>
      <c r="E302" s="399"/>
      <c r="F302" s="400"/>
      <c r="G302" s="382"/>
      <c r="H302" s="380"/>
      <c r="I302" s="15"/>
    </row>
    <row r="303" spans="1:9" ht="12.75" customHeight="1">
      <c r="A303" s="395"/>
      <c r="B303" s="396"/>
      <c r="C303" s="397"/>
      <c r="D303" s="398"/>
      <c r="E303" s="399"/>
      <c r="F303" s="400"/>
      <c r="G303" s="382"/>
      <c r="H303" s="380"/>
      <c r="I303" s="15"/>
    </row>
    <row r="304" spans="1:9" ht="12.75" customHeight="1">
      <c r="A304" s="395"/>
      <c r="B304" s="396"/>
      <c r="C304" s="397"/>
      <c r="D304" s="398"/>
      <c r="E304" s="399"/>
      <c r="F304" s="400"/>
      <c r="G304" s="382"/>
      <c r="H304" s="380"/>
      <c r="I304" s="15"/>
    </row>
    <row r="305" spans="1:9" ht="12.75" customHeight="1">
      <c r="A305" s="395"/>
      <c r="B305" s="396"/>
      <c r="C305" s="397"/>
      <c r="D305" s="398"/>
      <c r="E305" s="399"/>
      <c r="F305" s="400"/>
      <c r="G305" s="382"/>
      <c r="H305" s="380"/>
      <c r="I305" s="15"/>
    </row>
    <row r="306" spans="1:9" ht="12.75" customHeight="1">
      <c r="A306" s="395"/>
      <c r="B306" s="396"/>
      <c r="C306" s="397"/>
      <c r="D306" s="398"/>
      <c r="E306" s="399"/>
      <c r="F306" s="400"/>
      <c r="G306" s="382"/>
      <c r="H306" s="380"/>
      <c r="I306" s="15"/>
    </row>
    <row r="307" spans="1:9" ht="12.75" customHeight="1">
      <c r="A307" s="395"/>
      <c r="B307" s="396"/>
      <c r="C307" s="397"/>
      <c r="D307" s="398"/>
      <c r="E307" s="399"/>
      <c r="F307" s="400"/>
      <c r="G307" s="382"/>
      <c r="H307" s="380"/>
      <c r="I307" s="15"/>
    </row>
    <row r="308" spans="1:9" ht="12.75" customHeight="1">
      <c r="A308" s="395"/>
      <c r="B308" s="396"/>
      <c r="C308" s="397"/>
      <c r="D308" s="398"/>
      <c r="E308" s="399"/>
      <c r="F308" s="400"/>
      <c r="G308" s="382"/>
      <c r="H308" s="380"/>
      <c r="I308" s="15"/>
    </row>
    <row r="309" spans="1:9" ht="12.75" customHeight="1">
      <c r="A309" s="395"/>
      <c r="B309" s="396"/>
      <c r="C309" s="397"/>
      <c r="D309" s="398"/>
      <c r="E309" s="399"/>
      <c r="F309" s="400"/>
      <c r="G309" s="382"/>
      <c r="H309" s="380"/>
      <c r="I309" s="15"/>
    </row>
    <row r="310" spans="1:9" ht="12.75" customHeight="1">
      <c r="A310" s="395"/>
      <c r="B310" s="396"/>
      <c r="C310" s="397"/>
      <c r="D310" s="398"/>
      <c r="E310" s="399"/>
      <c r="F310" s="400"/>
      <c r="G310" s="382"/>
      <c r="H310" s="380"/>
      <c r="I310" s="15"/>
    </row>
    <row r="311" spans="1:9" ht="12.75" customHeight="1">
      <c r="A311" s="395"/>
      <c r="B311" s="396"/>
      <c r="C311" s="397"/>
      <c r="D311" s="398"/>
      <c r="E311" s="399"/>
      <c r="F311" s="400"/>
      <c r="G311" s="382"/>
      <c r="H311" s="380"/>
      <c r="I311" s="15"/>
    </row>
    <row r="312" spans="1:9" ht="12.75" customHeight="1">
      <c r="A312" s="395"/>
      <c r="B312" s="396"/>
      <c r="C312" s="397"/>
      <c r="D312" s="398"/>
      <c r="E312" s="399"/>
      <c r="F312" s="400"/>
      <c r="G312" s="382"/>
      <c r="H312" s="380"/>
      <c r="I312" s="15"/>
    </row>
    <row r="313" spans="1:9" ht="12.75" customHeight="1">
      <c r="A313" s="395"/>
      <c r="B313" s="396"/>
      <c r="C313" s="397"/>
      <c r="D313" s="398"/>
      <c r="E313" s="399"/>
      <c r="F313" s="400"/>
      <c r="G313" s="382"/>
      <c r="H313" s="380"/>
      <c r="I313" s="15"/>
    </row>
    <row r="314" spans="1:9" ht="12.75" customHeight="1">
      <c r="A314" s="395"/>
      <c r="B314" s="396"/>
      <c r="C314" s="397"/>
      <c r="D314" s="398"/>
      <c r="E314" s="399"/>
      <c r="F314" s="400"/>
      <c r="G314" s="382"/>
      <c r="H314" s="380"/>
      <c r="I314" s="15"/>
    </row>
    <row r="315" spans="1:9" ht="12.75" customHeight="1">
      <c r="A315" s="395"/>
      <c r="B315" s="396"/>
      <c r="C315" s="397"/>
      <c r="D315" s="398"/>
      <c r="E315" s="399"/>
      <c r="F315" s="400"/>
      <c r="G315" s="382"/>
      <c r="H315" s="380"/>
      <c r="I315" s="15"/>
    </row>
    <row r="316" spans="1:9" ht="12.75" customHeight="1">
      <c r="A316" s="395"/>
      <c r="B316" s="396"/>
      <c r="C316" s="397"/>
      <c r="D316" s="398"/>
      <c r="E316" s="399"/>
      <c r="F316" s="400"/>
      <c r="G316" s="382"/>
      <c r="H316" s="380"/>
      <c r="I316" s="15"/>
    </row>
    <row r="317" spans="1:9" ht="12.75" customHeight="1">
      <c r="A317" s="395"/>
      <c r="B317" s="396"/>
      <c r="C317" s="397"/>
      <c r="D317" s="398"/>
      <c r="E317" s="399"/>
      <c r="F317" s="400"/>
      <c r="G317" s="382"/>
      <c r="H317" s="380"/>
      <c r="I317" s="15"/>
    </row>
    <row r="318" spans="1:9" ht="12.75" customHeight="1">
      <c r="A318" s="395"/>
      <c r="B318" s="396"/>
      <c r="C318" s="397"/>
      <c r="D318" s="398"/>
      <c r="E318" s="399"/>
      <c r="F318" s="400"/>
      <c r="G318" s="382"/>
      <c r="H318" s="380"/>
      <c r="I318" s="15"/>
    </row>
    <row r="319" spans="1:9" ht="12.75" customHeight="1">
      <c r="A319" s="395"/>
      <c r="B319" s="396"/>
      <c r="C319" s="397"/>
      <c r="D319" s="398"/>
      <c r="E319" s="399"/>
      <c r="F319" s="400"/>
      <c r="G319" s="382"/>
      <c r="H319" s="380"/>
      <c r="I319" s="15"/>
    </row>
    <row r="320" spans="1:9" ht="12.75" customHeight="1">
      <c r="A320" s="395"/>
      <c r="B320" s="396"/>
      <c r="C320" s="401"/>
      <c r="D320" s="402"/>
      <c r="E320" s="403"/>
      <c r="F320" s="404"/>
      <c r="G320" s="382"/>
      <c r="H320" s="380"/>
      <c r="I320" s="15"/>
    </row>
    <row r="321" spans="1:9" ht="12.75" customHeight="1">
      <c r="A321" s="395"/>
      <c r="B321" s="396"/>
      <c r="C321" s="401"/>
      <c r="D321" s="402"/>
      <c r="E321" s="401"/>
      <c r="F321" s="404"/>
      <c r="G321" s="382"/>
      <c r="H321" s="380"/>
      <c r="I321" s="15"/>
    </row>
    <row r="322" spans="1:9" ht="12.75" customHeight="1">
      <c r="A322" s="405"/>
      <c r="B322" s="406"/>
      <c r="C322" s="407"/>
      <c r="D322" s="408"/>
      <c r="E322" s="409"/>
      <c r="F322" s="394"/>
      <c r="G322" s="382"/>
      <c r="H322" s="380"/>
      <c r="I322" s="15"/>
    </row>
    <row r="323" spans="1:9" ht="12.75" customHeight="1">
      <c r="A323" s="395"/>
      <c r="B323" s="396"/>
      <c r="C323" s="397"/>
      <c r="D323" s="398"/>
      <c r="E323" s="399"/>
      <c r="F323" s="400"/>
      <c r="G323" s="382"/>
      <c r="H323" s="380"/>
      <c r="I323" s="15"/>
    </row>
    <row r="324" spans="1:9" ht="12.75" customHeight="1">
      <c r="A324" s="395"/>
      <c r="B324" s="396"/>
      <c r="C324" s="397"/>
      <c r="D324" s="398"/>
      <c r="E324" s="399"/>
      <c r="F324" s="400"/>
      <c r="G324" s="382"/>
      <c r="H324" s="380"/>
      <c r="I324" s="15"/>
    </row>
    <row r="325" spans="1:9" ht="12.75" customHeight="1">
      <c r="A325" s="395"/>
      <c r="B325" s="396"/>
      <c r="C325" s="397"/>
      <c r="D325" s="398"/>
      <c r="E325" s="403"/>
      <c r="F325" s="404"/>
      <c r="G325" s="382"/>
      <c r="H325" s="380"/>
      <c r="I325" s="15"/>
    </row>
    <row r="326" spans="1:9" ht="12.75" customHeight="1">
      <c r="A326" s="395"/>
      <c r="B326" s="396"/>
      <c r="C326" s="401"/>
      <c r="D326" s="402"/>
      <c r="E326" s="403"/>
      <c r="F326" s="404"/>
      <c r="G326" s="382"/>
      <c r="H326" s="380"/>
      <c r="I326" s="15"/>
    </row>
    <row r="327" spans="1:9" ht="12.75" customHeight="1">
      <c r="A327" s="395"/>
      <c r="B327" s="396"/>
      <c r="C327" s="401"/>
      <c r="D327" s="402"/>
      <c r="E327" s="403"/>
      <c r="F327" s="404"/>
      <c r="G327" s="382"/>
      <c r="H327" s="380"/>
      <c r="I327" s="15"/>
    </row>
    <row r="328" spans="1:9" ht="12.75" customHeight="1">
      <c r="A328" s="395"/>
      <c r="B328" s="396"/>
      <c r="C328" s="407"/>
      <c r="D328" s="408"/>
      <c r="E328" s="409"/>
      <c r="F328" s="394"/>
      <c r="G328" s="382"/>
      <c r="H328" s="380"/>
      <c r="I328" s="15"/>
    </row>
    <row r="329" spans="1:9" ht="12.75" customHeight="1">
      <c r="A329" s="395"/>
      <c r="B329" s="396"/>
      <c r="C329" s="397"/>
      <c r="D329" s="398"/>
      <c r="E329" s="399"/>
      <c r="F329" s="400"/>
      <c r="G329" s="382"/>
      <c r="H329" s="380"/>
      <c r="I329" s="15"/>
    </row>
    <row r="330" spans="1:9" ht="12.75" customHeight="1">
      <c r="A330" s="395"/>
      <c r="B330" s="396"/>
      <c r="C330" s="397"/>
      <c r="D330" s="398"/>
      <c r="E330" s="403"/>
      <c r="F330" s="404"/>
      <c r="G330" s="382"/>
      <c r="H330" s="380"/>
      <c r="I330" s="15"/>
    </row>
    <row r="331" spans="1:9" ht="12.75" customHeight="1">
      <c r="A331" s="395"/>
      <c r="B331" s="396"/>
      <c r="C331" s="401"/>
      <c r="D331" s="402"/>
      <c r="E331" s="403"/>
      <c r="F331" s="404"/>
      <c r="G331" s="382"/>
      <c r="H331" s="380"/>
      <c r="I331" s="15"/>
    </row>
    <row r="332" spans="1:9" ht="12.75" customHeight="1">
      <c r="A332" s="395"/>
      <c r="B332" s="396"/>
      <c r="C332" s="401"/>
      <c r="D332" s="402"/>
      <c r="E332" s="410"/>
      <c r="F332" s="411"/>
      <c r="G332" s="382"/>
      <c r="H332" s="380"/>
      <c r="I332" s="15"/>
    </row>
    <row r="333" spans="1:9" ht="12.75" customHeight="1">
      <c r="A333" s="405"/>
      <c r="B333" s="406"/>
      <c r="C333" s="407"/>
      <c r="D333" s="408"/>
      <c r="E333" s="409"/>
      <c r="F333" s="394"/>
      <c r="G333" s="412"/>
      <c r="H333" s="413"/>
      <c r="I333" s="15"/>
    </row>
    <row r="334" spans="1:9" ht="12.75" customHeight="1">
      <c r="A334" s="395"/>
      <c r="B334" s="414"/>
      <c r="C334" s="399"/>
      <c r="D334" s="400"/>
      <c r="E334" s="415"/>
      <c r="F334" s="416"/>
      <c r="G334" s="417"/>
      <c r="H334" s="413"/>
      <c r="I334" s="15"/>
    </row>
    <row r="335" spans="1:9" ht="12.75" customHeight="1">
      <c r="A335" s="395"/>
      <c r="B335" s="414"/>
      <c r="C335" s="399"/>
      <c r="D335" s="400"/>
      <c r="E335" s="410"/>
      <c r="F335" s="411"/>
      <c r="G335" s="417"/>
      <c r="H335" s="413"/>
      <c r="I335" s="15"/>
    </row>
    <row r="336" spans="1:9" ht="12.75" customHeight="1">
      <c r="A336" s="395"/>
      <c r="B336" s="414"/>
      <c r="C336" s="403"/>
      <c r="D336" s="404"/>
      <c r="E336" s="418"/>
      <c r="F336" s="404"/>
      <c r="G336" s="41"/>
      <c r="H336" s="414"/>
      <c r="I336" s="15"/>
    </row>
    <row r="337" spans="1:9" ht="12.75" customHeight="1">
      <c r="A337" s="395"/>
      <c r="B337" s="414"/>
      <c r="C337" s="403"/>
      <c r="D337" s="404"/>
      <c r="E337" s="410"/>
      <c r="F337" s="404"/>
      <c r="G337" s="417"/>
      <c r="H337" s="413"/>
      <c r="I337" s="15"/>
    </row>
    <row r="338" spans="1:9" ht="12.75" customHeight="1">
      <c r="A338" s="395"/>
      <c r="B338" s="419"/>
      <c r="C338" s="410"/>
      <c r="D338" s="416"/>
      <c r="E338" s="420"/>
      <c r="F338" s="415"/>
      <c r="G338" s="421"/>
      <c r="H338" s="422"/>
      <c r="I338" s="15"/>
    </row>
    <row r="339" spans="1:9" ht="12.75" customHeight="1">
      <c r="A339" s="405"/>
      <c r="B339" s="423"/>
      <c r="C339" s="424"/>
      <c r="D339" s="425"/>
      <c r="E339" s="423"/>
      <c r="F339" s="424"/>
      <c r="G339" s="426"/>
      <c r="H339" s="427"/>
      <c r="I339" s="15"/>
    </row>
    <row r="340" spans="1:9" ht="12.75" customHeight="1">
      <c r="A340" s="389"/>
      <c r="B340" s="428"/>
      <c r="C340" s="429"/>
      <c r="D340" s="416"/>
      <c r="E340" s="430"/>
      <c r="F340" s="431"/>
      <c r="G340" s="432"/>
      <c r="H340" s="433"/>
      <c r="I340" s="434"/>
    </row>
    <row r="341" spans="1:9" ht="12.75" customHeight="1">
      <c r="A341" s="435"/>
      <c r="B341" s="436"/>
      <c r="C341" s="437"/>
      <c r="D341" s="438"/>
      <c r="E341" s="437"/>
      <c r="F341" s="438"/>
      <c r="G341" s="438"/>
      <c r="H341" s="439"/>
      <c r="I341" s="440"/>
    </row>
    <row r="342" spans="1:9" ht="12.75" customHeight="1">
      <c r="A342" s="435"/>
      <c r="B342" s="436"/>
      <c r="C342" s="437"/>
      <c r="D342" s="438"/>
      <c r="E342" s="437"/>
      <c r="F342" s="438"/>
      <c r="G342" s="438"/>
      <c r="H342" s="439"/>
      <c r="I342" s="440"/>
    </row>
    <row r="343" ht="12.75" customHeight="1">
      <c r="I343" s="377"/>
    </row>
    <row r="344" ht="12.75" customHeight="1">
      <c r="I344" s="377"/>
    </row>
  </sheetData>
  <sheetProtection/>
  <mergeCells count="1">
    <mergeCell ref="C7:D7"/>
  </mergeCells>
  <printOptions/>
  <pageMargins left="0.67" right="0.2" top="0.25" bottom="0.25" header="0.34" footer="0.3"/>
  <pageSetup horizontalDpi="600" verticalDpi="600" orientation="portrait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hp</cp:lastModifiedBy>
  <cp:lastPrinted>2024-02-25T04:05:59Z</cp:lastPrinted>
  <dcterms:created xsi:type="dcterms:W3CDTF">2017-09-24T04:46:07Z</dcterms:created>
  <dcterms:modified xsi:type="dcterms:W3CDTF">2024-02-25T05:04:33Z</dcterms:modified>
  <cp:category/>
  <cp:version/>
  <cp:contentType/>
  <cp:contentStatus/>
</cp:coreProperties>
</file>